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b6c8d943a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9b8ed8ccdd5e478b"/>
    <x:sheet xmlns:r="http://schemas.openxmlformats.org/officeDocument/2006/relationships" name="CONFIGURACIÓN" sheetId="2" r:id="R36226bda8c5942fe"/>
    <x:sheet xmlns:r="http://schemas.openxmlformats.org/officeDocument/2006/relationships" name="ÓRDENES-DE-COMPRA" sheetId="3" r:id="R73d69776e40c4830"/>
    <x:sheet xmlns:r="http://schemas.openxmlformats.org/officeDocument/2006/relationships" name="LÍNEAS-DE-PEDIDO" sheetId="4" r:id="R9a3584300e384cbb"/>
    <x:sheet xmlns:r="http://schemas.openxmlformats.org/officeDocument/2006/relationships" name="RESUMEN-DE-PEDIDOS" sheetId="5" r:id="Rf9aa3539af6c496f"/>
    <x:sheet xmlns:r="http://schemas.openxmlformats.org/officeDocument/2006/relationships" name="RESUMEN-MENSUAL" sheetId="6" r:id="R0c4142eca8e54978"/>
    <x:sheet xmlns:r="http://schemas.openxmlformats.org/officeDocument/2006/relationships" name="PANEL-DE-CONTROL" sheetId="7" r:id="R655f878cf7474c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"/>
    <x:numFmt numFmtId="202" formatCode="#,##0.00"/>
    <x:numFmt numFmtId="203" formatCode="0.0%"/>
    <x:numFmt numFmtId="204" formatCode="#,##0"/>
  </x:numFmts>
  <x:fonts count="11">
    <x:font>
      <x:sz val="11"/>
      <x:name val="Carlito"/>
    </x:font>
    <x:font>
      <x:sz val="10"/>
      <x:color rgb="FF173247"/>
      <x:name val="Aptos"/>
    </x:font>
    <x:font>
      <x:b/>
      <x:sz val="20"/>
      <x:color rgb="FFFFFFFF"/>
      <x:name val="Aptos"/>
    </x:font>
    <x:font>
      <x:i/>
      <x:sz val="10"/>
      <x:color rgb="FF607789"/>
      <x:name val="Aptos"/>
    </x:font>
    <x:font>
      <x:b/>
      <x:sz val="10"/>
      <x:color rgb="FFFFFFFF"/>
      <x:name val="Aptos"/>
    </x:font>
    <x:font>
      <x:b/>
      <x:sz val="10"/>
      <x:color rgb="FF173247"/>
      <x:name val="Aptos"/>
    </x:font>
    <x:font>
      <x:i/>
      <x:sz val="9"/>
      <x:color rgb="FF607789"/>
      <x:name val="Aptos"/>
    </x:font>
    <x:font>
      <x:sz val="9"/>
      <x:color rgb="FF607789"/>
      <x:name val="Aptos"/>
    </x:font>
    <x:font>
      <x:b/>
      <x:sz val="9"/>
      <x:color rgb="FFFFFFFF"/>
      <x:name val="Aptos"/>
    </x:font>
    <x:font>
      <x:b/>
      <x:sz val="9"/>
      <x:color rgb="FF173247"/>
      <x:name val="Aptos"/>
    </x:font>
    <x:font>
      <x:b/>
      <x:sz val="16"/>
      <x:color rgb="FF163D56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63D56"/>
      </x:patternFill>
    </x:fill>
    <x:fill>
      <x:patternFill patternType="solid">
        <x:fgColor rgb="FFDDF3F1"/>
      </x:patternFill>
    </x:fill>
    <x:fill>
      <x:patternFill patternType="solid">
        <x:fgColor rgb="FF168F8C"/>
      </x:patternFill>
    </x:fill>
    <x:fill>
      <x:patternFill patternType="solid">
        <x:fgColor rgb="FFE8F2F8"/>
      </x:patternFill>
    </x:fill>
    <x:fill>
      <x:patternFill patternType="solid">
        <x:fgColor rgb="FFFFFFFF"/>
      </x:patternFill>
    </x:fill>
    <x:fill>
      <x:patternFill patternType="solid">
        <x:fgColor rgb="FFF3F6F8"/>
      </x:patternFill>
    </x:fill>
    <x:fill>
      <x:patternFill patternType="solid">
        <x:fgColor rgb="FFFFF4D6"/>
      </x:patternFill>
    </x:fill>
    <x:fill>
      <x:patternFill patternType="solid">
        <x:fgColor rgb="FFFFF0C2"/>
      </x:patternFill>
    </x:fill>
  </x:fills>
  <x:borders count="20">
    <x:border/>
    <x:border>
      <x:left style="thin">
        <x:color rgb="FFC8D8E1"/>
      </x:left>
      <x:right style="thin">
        <x:color rgb="FFC8D8E1"/>
      </x:right>
      <x:top style="thin">
        <x:color rgb="FFC8D8E1"/>
      </x:top>
      <x:bottom style="thin">
        <x:color rgb="FFC8D8E1"/>
      </x:bottom>
    </x:border>
    <x:border>
      <x:left style="thin">
        <x:color rgb="FFC8D8E1"/>
      </x:left>
      <x:top style="thin">
        <x:color rgb="FFC8D8E1"/>
      </x:top>
    </x:border>
    <x:border>
      <x:top style="thin">
        <x:color rgb="FFC8D8E1"/>
      </x:top>
    </x:border>
    <x:border>
      <x:right style="thin">
        <x:color rgb="FFC8D8E1"/>
      </x:right>
      <x:top style="thin">
        <x:color rgb="FFC8D8E1"/>
      </x:top>
    </x:border>
    <x:border>
      <x:left style="thin">
        <x:color rgb="FFC8D8E1"/>
      </x:left>
    </x:border>
    <x:border>
      <x:right style="thin">
        <x:color rgb="FFC8D8E1"/>
      </x:right>
    </x:border>
    <x:border>
      <x:left style="thin">
        <x:color rgb="FFC8D8E1"/>
      </x:left>
      <x:bottom style="thin">
        <x:color rgb="FFC8D8E1"/>
      </x:bottom>
    </x:border>
    <x:border>
      <x:bottom style="thin">
        <x:color rgb="FFC8D8E1"/>
      </x:bottom>
    </x:border>
    <x:border>
      <x:right style="thin">
        <x:color rgb="FFC8D8E1"/>
      </x:right>
      <x:bottom style="thin">
        <x:color rgb="FFC8D8E1"/>
      </x:bottom>
    </x:border>
    <x:border>
      <x:left style="thin">
        <x:color rgb="FFE1B95B"/>
      </x:left>
      <x:top style="thin">
        <x:color rgb="FFE1B95B"/>
      </x:top>
    </x:border>
    <x:border>
      <x:top style="thin">
        <x:color rgb="FFE1B95B"/>
      </x:top>
    </x:border>
    <x:border>
      <x:right style="thin">
        <x:color rgb="FFE1B95B"/>
      </x:right>
      <x:top style="thin">
        <x:color rgb="FFE1B95B"/>
      </x:top>
    </x:border>
    <x:border>
      <x:left style="thin">
        <x:color rgb="FFE1B95B"/>
      </x:left>
      <x:bottom style="thin">
        <x:color rgb="FFE1B95B"/>
      </x:bottom>
    </x:border>
    <x:border>
      <x:bottom style="thin">
        <x:color rgb="FFE1B95B"/>
      </x:bottom>
    </x:border>
    <x:border>
      <x:right style="thin">
        <x:color rgb="FFE1B95B"/>
      </x:right>
      <x:bottom style="thin">
        <x:color rgb="FFE1B95B"/>
      </x:bottom>
    </x:border>
    <x:border>
      <x:left style="thin">
        <x:color rgb="FF168F8C"/>
      </x:left>
      <x:top style="thin">
        <x:color rgb="FF168F8C"/>
      </x:top>
      <x:bottom style="thin">
        <x:color rgb="FF168F8C"/>
      </x:bottom>
    </x:border>
    <x:border>
      <x:right style="thin">
        <x:color rgb="FF168F8C"/>
      </x:right>
      <x:top style="thin">
        <x:color rgb="FF168F8C"/>
      </x:top>
      <x:bottom style="thin">
        <x:color rgb="FF168F8C"/>
      </x:bottom>
    </x:border>
    <x:border>
      <x:left style="thin">
        <x:color rgb="FFE1B95B"/>
      </x:left>
    </x:border>
    <x:border>
      <x:right style="thin">
        <x:color rgb="FFE1B95B"/>
      </x:right>
    </x:border>
  </x:borders>
  <x:cellStyleXfs count="1">
    <x:xf numFmtId="0" fontId="0" fillId="0" borderId="0"/>
  </x:cellStyleXfs>
  <x:cellXfs count="1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5" fillId="5" borderId="1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1" fillId="6" borderId="1" xfId="0" applyNumberFormat="1" applyFont="1" applyFill="1" applyBorder="1" applyAlignment="1">
      <x:alignment horizontal="left" vertical="center"/>
    </x:xf>
    <x:xf numFmtId="0" fontId="1" fillId="6" borderId="1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5" fillId="7" borderId="0" xfId="0" applyNumberFormat="1" applyFont="1" applyFill="1" applyBorder="1" applyAlignment="1">
      <x:alignment horizontal="left" vertical="center"/>
    </x:xf>
    <x:xf numFmtId="0" fontId="5" fillId="7" borderId="1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1" xfId="0" applyNumberFormat="1" applyFont="1" applyFill="1" applyBorder="1" applyAlignment="1">
      <x:alignment horizontal="left" vertical="center"/>
    </x:xf>
    <x:xf numFmtId="0" fontId="1" fillId="8" borderId="1" xfId="0" applyNumberFormat="1" applyFont="1" applyFill="1" applyBorder="1" applyAlignment="1">
      <x:alignment horizontal="center" vertical="center"/>
    </x:xf>
    <x:xf numFmtId="0" fontId="6" fillId="7" borderId="0" xfId="0" applyNumberFormat="1" applyFont="1" applyFill="1" applyBorder="1" applyAlignment="1">
      <x:alignment horizontal="left" vertical="center"/>
    </x:xf>
    <x:xf numFmtId="0" fontId="6" fillId="7" borderId="2" xfId="0" applyNumberFormat="1" applyFont="1" applyFill="1" applyBorder="1" applyAlignment="1">
      <x:alignment horizontal="left" vertical="center"/>
    </x:xf>
    <x:xf numFmtId="0" fontId="6" fillId="7" borderId="3" xfId="0" applyNumberFormat="1" applyFont="1" applyFill="1" applyBorder="1" applyAlignment="1">
      <x:alignment horizontal="left" vertical="center"/>
    </x:xf>
    <x:xf numFmtId="0" fontId="6" fillId="7" borderId="4" xfId="0" applyNumberFormat="1" applyFont="1" applyFill="1" applyBorder="1" applyAlignment="1">
      <x:alignment horizontal="left" vertical="center"/>
    </x:xf>
    <x:xf numFmtId="0" fontId="6" fillId="7" borderId="5" xfId="0" applyNumberFormat="1" applyFont="1" applyFill="1" applyBorder="1" applyAlignment="1">
      <x:alignment horizontal="left" vertical="center"/>
    </x:xf>
    <x:xf numFmtId="0" fontId="6" fillId="7" borderId="6" xfId="0" applyNumberFormat="1" applyFont="1" applyFill="1" applyBorder="1" applyAlignment="1">
      <x:alignment horizontal="left" vertical="center"/>
    </x:xf>
    <x:xf numFmtId="0" fontId="6" fillId="7" borderId="7" xfId="0" applyNumberFormat="1" applyFont="1" applyFill="1" applyBorder="1" applyAlignment="1">
      <x:alignment horizontal="left" vertical="center"/>
    </x:xf>
    <x:xf numFmtId="0" fontId="6" fillId="7" borderId="8" xfId="0" applyNumberFormat="1" applyFont="1" applyFill="1" applyBorder="1" applyAlignment="1">
      <x:alignment horizontal="left" vertical="center"/>
    </x:xf>
    <x:xf numFmtId="0" fontId="6" fillId="7" borderId="9" xfId="0" applyNumberFormat="1" applyFont="1" applyFill="1" applyBorder="1" applyAlignment="1">
      <x:alignment horizontal="left" vertical="center"/>
    </x:xf>
    <x:xf numFmtId="0" fontId="6" fillId="7" borderId="2" xfId="0" applyNumberFormat="1" applyFont="1" applyFill="1" applyBorder="1" applyAlignment="1">
      <x:alignment horizontal="left" vertical="center" wrapText="1"/>
    </x:xf>
    <x:xf numFmtId="0" fontId="6" fillId="7" borderId="3" xfId="0" applyNumberFormat="1" applyFont="1" applyFill="1" applyBorder="1" applyAlignment="1">
      <x:alignment horizontal="left" vertical="center" wrapText="1"/>
    </x:xf>
    <x:xf numFmtId="0" fontId="6" fillId="7" borderId="4" xfId="0" applyNumberFormat="1" applyFont="1" applyFill="1" applyBorder="1" applyAlignment="1">
      <x:alignment horizontal="left" vertical="center" wrapText="1"/>
    </x:xf>
    <x:xf numFmtId="0" fontId="6" fillId="7" borderId="5" xfId="0" applyNumberFormat="1" applyFont="1" applyFill="1" applyBorder="1" applyAlignment="1">
      <x:alignment horizontal="left" vertical="center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6" fillId="7" borderId="6" xfId="0" applyNumberFormat="1" applyFont="1" applyFill="1" applyBorder="1" applyAlignment="1">
      <x:alignment horizontal="left" vertical="center" wrapText="1"/>
    </x:xf>
    <x:xf numFmtId="0" fontId="6" fillId="7" borderId="7" xfId="0" applyNumberFormat="1" applyFont="1" applyFill="1" applyBorder="1" applyAlignment="1">
      <x:alignment horizontal="left" vertical="center" wrapText="1"/>
    </x:xf>
    <x:xf numFmtId="0" fontId="6" fillId="7" borderId="8" xfId="0" applyNumberFormat="1" applyFont="1" applyFill="1" applyBorder="1" applyAlignment="1">
      <x:alignment horizontal="left" vertical="center" wrapText="1"/>
    </x:xf>
    <x:xf numFmtId="0" fontId="6" fillId="7" borderId="9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1" fillId="8" borderId="1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horizontal="left" vertical="center"/>
    </x:xf>
    <x:xf numFmtId="0" fontId="1" fillId="5" borderId="1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 applyAlignment="1">
      <x:alignment horizontal="left" vertical="center"/>
    </x:xf>
    <x:xf numFmtId="0" fontId="7" fillId="6" borderId="1" xfId="0" applyNumberFormat="1" applyFont="1" applyFill="1" applyBorder="1" applyAlignment="1">
      <x:alignment horizontal="left" vertical="center"/>
    </x:xf>
    <x:xf numFmtId="0" fontId="7" fillId="6" borderId="1" xfId="0" applyNumberFormat="1" applyFont="1" applyFill="1" applyBorder="1" applyAlignment="1">
      <x:alignment horizontal="left" vertical="center" wrapText="1"/>
    </x:xf>
    <x:xf numFmtId="200" fontId="1" fillId="8" borderId="1" xfId="0" applyNumberFormat="1" applyFont="1" applyFill="1" applyBorder="1" applyAlignment="1">
      <x:alignment horizontal="left" vertical="center" wrapText="1"/>
    </x:xf>
    <x:xf numFmtId="201" fontId="1" fillId="8" borderId="1" xfId="0" applyNumberFormat="1" applyFont="1" applyFill="1" applyBorder="1" applyAlignment="1">
      <x:alignment horizontal="left" vertical="center" wrapText="1"/>
    </x:xf>
    <x:xf numFmtId="202" fontId="1" fillId="8" borderId="1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left" vertic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203" fontId="1" fillId="8" borderId="1" xfId="0" applyNumberFormat="1" applyFont="1" applyFill="1" applyBorder="1" applyAlignment="1">
      <x:alignment horizontal="left" vertical="center" wrapText="1"/>
    </x:xf>
    <x:xf numFmtId="202" fontId="1" fillId="5" borderId="1" xfId="0" applyNumberFormat="1" applyFont="1" applyFill="1" applyBorder="1" applyAlignment="1">
      <x:alignment horizontal="left" vertical="center" wrapText="1"/>
    </x:xf>
    <x:xf numFmtId="203" fontId="1" fillId="5" borderId="1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horizontal="left" vertical="center"/>
    </x:xf>
    <x:xf numFmtId="0" fontId="9" fillId="9" borderId="0" xfId="0" applyNumberFormat="1" applyFont="1" applyFill="1" applyBorder="1" applyAlignment="1">
      <x:alignment horizontal="left" vertical="center"/>
    </x:xf>
    <x:xf numFmtId="0" fontId="9" fillId="9" borderId="10" xfId="0" applyNumberFormat="1" applyFont="1" applyFill="1" applyBorder="1" applyAlignment="1">
      <x:alignment horizontal="left" vertical="center"/>
    </x:xf>
    <x:xf numFmtId="0" fontId="9" fillId="9" borderId="11" xfId="0" applyNumberFormat="1" applyFont="1" applyFill="1" applyBorder="1" applyAlignment="1">
      <x:alignment horizontal="left" vertical="center"/>
    </x:xf>
    <x:xf numFmtId="0" fontId="9" fillId="9" borderId="12" xfId="0" applyNumberFormat="1" applyFont="1" applyFill="1" applyBorder="1" applyAlignment="1">
      <x:alignment horizontal="left" vertical="center"/>
    </x:xf>
    <x:xf numFmtId="0" fontId="9" fillId="9" borderId="13" xfId="0" applyNumberFormat="1" applyFont="1" applyFill="1" applyBorder="1" applyAlignment="1">
      <x:alignment horizontal="left" vertical="center"/>
    </x:xf>
    <x:xf numFmtId="0" fontId="9" fillId="9" borderId="14" xfId="0" applyNumberFormat="1" applyFont="1" applyFill="1" applyBorder="1" applyAlignment="1">
      <x:alignment horizontal="left" vertical="center"/>
    </x:xf>
    <x:xf numFmtId="0" fontId="9" fillId="9" borderId="15" xfId="0" applyNumberFormat="1" applyFont="1" applyFill="1" applyBorder="1" applyAlignment="1">
      <x:alignment horizontal="left" vertical="center"/>
    </x:xf>
    <x:xf numFmtId="0" fontId="9" fillId="9" borderId="10" xfId="0" applyNumberFormat="1" applyFont="1" applyFill="1" applyBorder="1" applyAlignment="1">
      <x:alignment horizontal="left" vertical="center" wrapText="1"/>
    </x:xf>
    <x:xf numFmtId="0" fontId="9" fillId="9" borderId="11" xfId="0" applyNumberFormat="1" applyFont="1" applyFill="1" applyBorder="1" applyAlignment="1">
      <x:alignment horizontal="left" vertical="center" wrapText="1"/>
    </x:xf>
    <x:xf numFmtId="0" fontId="9" fillId="9" borderId="12" xfId="0" applyNumberFormat="1" applyFont="1" applyFill="1" applyBorder="1" applyAlignment="1">
      <x:alignment horizontal="left" vertical="center" wrapText="1"/>
    </x:xf>
    <x:xf numFmtId="0" fontId="9" fillId="9" borderId="13" xfId="0" applyNumberFormat="1" applyFont="1" applyFill="1" applyBorder="1" applyAlignment="1">
      <x:alignment horizontal="left" vertical="center" wrapText="1"/>
    </x:xf>
    <x:xf numFmtId="0" fontId="9" fillId="9" borderId="14" xfId="0" applyNumberFormat="1" applyFont="1" applyFill="1" applyBorder="1" applyAlignment="1">
      <x:alignment horizontal="left" vertical="center" wrapText="1"/>
    </x:xf>
    <x:xf numFmtId="0" fontId="9" fillId="9" borderId="15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left" vertical="center" wrapText="1"/>
    </x:xf>
    <x:xf numFmtId="201" fontId="1" fillId="5" borderId="1" xfId="0" applyNumberFormat="1" applyFont="1" applyFill="1" applyBorder="1" applyAlignment="1">
      <x:alignment horizontal="left" vertical="center" wrapText="1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1" xfId="0" applyNumberFormat="1" applyFont="1" applyFill="1" applyBorder="1" applyAlignment="1">
      <x:alignment horizontal="left" vertical="center"/>
    </x:xf>
    <x:xf numFmtId="202" fontId="4" fillId="2" borderId="1" xfId="0" applyNumberFormat="1" applyFont="1" applyFill="1" applyBorder="1" applyAlignment="1">
      <x:alignment horizontal="left" vertical="center"/>
    </x:xf>
    <x:xf numFmtId="204" fontId="4" fillId="2" borderId="1" xfId="0" applyNumberFormat="1" applyFont="1" applyFill="1" applyBorder="1" applyAlignment="1">
      <x:alignment horizontal="left" vertical="center"/>
    </x:xf>
    <x:xf numFmtId="0" fontId="8" fillId="4" borderId="16" xfId="0" applyNumberFormat="1" applyFont="1" applyFill="1" applyBorder="1" applyAlignment="1">
      <x:alignment horizontal="left" vertical="center"/>
    </x:xf>
    <x:xf numFmtId="0" fontId="8" fillId="4" borderId="17" xfId="0" applyNumberFormat="1" applyFont="1" applyFill="1" applyBorder="1" applyAlignment="1">
      <x:alignment horizontal="left" vertical="center"/>
    </x:xf>
    <x:xf numFmtId="0" fontId="8" fillId="4" borderId="16" xfId="0" applyNumberFormat="1" applyFont="1" applyFill="1" applyBorder="1" applyAlignment="1">
      <x:alignment horizontal="center" vertical="center"/>
    </x:xf>
    <x:xf numFmtId="0" fontId="8" fillId="4" borderId="17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 applyAlignment="1">
      <x:alignment horizontal="left" vertical="center"/>
    </x:xf>
    <x:xf numFmtId="0" fontId="10" fillId="5" borderId="2" xfId="0" applyNumberFormat="1" applyFont="1" applyFill="1" applyBorder="1" applyAlignment="1">
      <x:alignment horizontal="left" vertical="center"/>
    </x:xf>
    <x:xf numFmtId="0" fontId="10" fillId="5" borderId="4" xfId="0" applyNumberFormat="1" applyFont="1" applyFill="1" applyBorder="1" applyAlignment="1">
      <x:alignment horizontal="left" vertical="center"/>
    </x:xf>
    <x:xf numFmtId="0" fontId="10" fillId="5" borderId="7" xfId="0" applyNumberFormat="1" applyFont="1" applyFill="1" applyBorder="1" applyAlignment="1">
      <x:alignment horizontal="left" vertical="center"/>
    </x:xf>
    <x:xf numFmtId="0" fontId="10" fillId="5" borderId="9" xfId="0" applyNumberFormat="1" applyFont="1" applyFill="1" applyBorder="1" applyAlignment="1">
      <x:alignment horizontal="left" vertical="center"/>
    </x:xf>
    <x:xf numFmtId="204" fontId="10" fillId="5" borderId="2" xfId="0" applyNumberFormat="1" applyFont="1" applyFill="1" applyBorder="1" applyAlignment="1">
      <x:alignment horizontal="left" vertical="center"/>
    </x:xf>
    <x:xf numFmtId="204" fontId="10" fillId="5" borderId="4" xfId="0" applyNumberFormat="1" applyFont="1" applyFill="1" applyBorder="1" applyAlignment="1">
      <x:alignment horizontal="left" vertical="center"/>
    </x:xf>
    <x:xf numFmtId="204" fontId="10" fillId="5" borderId="7" xfId="0" applyNumberFormat="1" applyFont="1" applyFill="1" applyBorder="1" applyAlignment="1">
      <x:alignment horizontal="left" vertical="center"/>
    </x:xf>
    <x:xf numFmtId="204" fontId="10" fillId="5" borderId="9" xfId="0" applyNumberFormat="1" applyFont="1" applyFill="1" applyBorder="1" applyAlignment="1">
      <x:alignment horizontal="left" vertical="center"/>
    </x:xf>
    <x:xf numFmtId="204" fontId="10" fillId="5" borderId="2" xfId="0" applyNumberFormat="1" applyFont="1" applyFill="1" applyBorder="1" applyAlignment="1">
      <x:alignment horizontal="center" vertical="center"/>
    </x:xf>
    <x:xf numFmtId="204" fontId="10" fillId="5" borderId="4" xfId="0" applyNumberFormat="1" applyFont="1" applyFill="1" applyBorder="1" applyAlignment="1">
      <x:alignment horizontal="center" vertical="center"/>
    </x:xf>
    <x:xf numFmtId="204" fontId="10" fillId="5" borderId="7" xfId="0" applyNumberFormat="1" applyFont="1" applyFill="1" applyBorder="1" applyAlignment="1">
      <x:alignment horizontal="center" vertical="center"/>
    </x:xf>
    <x:xf numFmtId="204" fontId="10" fillId="5" borderId="9" xfId="0" applyNumberFormat="1" applyFont="1" applyFill="1" applyBorder="1" applyAlignment="1">
      <x:alignment horizontal="center" vertical="center"/>
    </x:xf>
    <x:xf numFmtId="202" fontId="10" fillId="5" borderId="2" xfId="0" applyNumberFormat="1" applyFont="1" applyFill="1" applyBorder="1" applyAlignment="1">
      <x:alignment horizontal="left" vertical="center"/>
    </x:xf>
    <x:xf numFmtId="202" fontId="10" fillId="5" borderId="4" xfId="0" applyNumberFormat="1" applyFont="1" applyFill="1" applyBorder="1" applyAlignment="1">
      <x:alignment horizontal="left" vertical="center"/>
    </x:xf>
    <x:xf numFmtId="202" fontId="10" fillId="5" borderId="7" xfId="0" applyNumberFormat="1" applyFont="1" applyFill="1" applyBorder="1" applyAlignment="1">
      <x:alignment horizontal="left" vertical="center"/>
    </x:xf>
    <x:xf numFmtId="202" fontId="10" fillId="5" borderId="9" xfId="0" applyNumberFormat="1" applyFont="1" applyFill="1" applyBorder="1" applyAlignment="1">
      <x:alignment horizontal="left" vertical="center"/>
    </x:xf>
    <x:xf numFmtId="202" fontId="10" fillId="5" borderId="2" xfId="0" applyNumberFormat="1" applyFont="1" applyFill="1" applyBorder="1" applyAlignment="1">
      <x:alignment horizontal="center" vertical="center"/>
    </x:xf>
    <x:xf numFmtId="202" fontId="10" fillId="5" borderId="4" xfId="0" applyNumberFormat="1" applyFont="1" applyFill="1" applyBorder="1" applyAlignment="1">
      <x:alignment horizontal="center" vertical="center"/>
    </x:xf>
    <x:xf numFmtId="202" fontId="10" fillId="5" borderId="7" xfId="0" applyNumberFormat="1" applyFont="1" applyFill="1" applyBorder="1" applyAlignment="1">
      <x:alignment horizontal="center" vertical="center"/>
    </x:xf>
    <x:xf numFmtId="202" fontId="10" fillId="5" borderId="9" xfId="0" applyNumberFormat="1" applyFont="1" applyFill="1" applyBorder="1" applyAlignment="1">
      <x:alignment horizontal="center" vertical="center"/>
    </x:xf>
    <x:xf numFmtId="203" fontId="10" fillId="5" borderId="2" xfId="0" applyNumberFormat="1" applyFont="1" applyFill="1" applyBorder="1" applyAlignment="1">
      <x:alignment horizontal="left" vertical="center"/>
    </x:xf>
    <x:xf numFmtId="203" fontId="10" fillId="5" borderId="4" xfId="0" applyNumberFormat="1" applyFont="1" applyFill="1" applyBorder="1" applyAlignment="1">
      <x:alignment horizontal="left" vertical="center"/>
    </x:xf>
    <x:xf numFmtId="203" fontId="10" fillId="5" borderId="7" xfId="0" applyNumberFormat="1" applyFont="1" applyFill="1" applyBorder="1" applyAlignment="1">
      <x:alignment horizontal="left" vertical="center"/>
    </x:xf>
    <x:xf numFmtId="203" fontId="10" fillId="5" borderId="9" xfId="0" applyNumberFormat="1" applyFont="1" applyFill="1" applyBorder="1" applyAlignment="1">
      <x:alignment horizontal="left" vertical="center"/>
    </x:xf>
    <x:xf numFmtId="203" fontId="10" fillId="5" borderId="2" xfId="0" applyNumberFormat="1" applyFont="1" applyFill="1" applyBorder="1" applyAlignment="1">
      <x:alignment horizontal="center" vertical="center"/>
    </x:xf>
    <x:xf numFmtId="203" fontId="10" fillId="5" borderId="4" xfId="0" applyNumberFormat="1" applyFont="1" applyFill="1" applyBorder="1" applyAlignment="1">
      <x:alignment horizontal="center" vertical="center"/>
    </x:xf>
    <x:xf numFmtId="203" fontId="10" fillId="5" borderId="7" xfId="0" applyNumberFormat="1" applyFont="1" applyFill="1" applyBorder="1" applyAlignment="1">
      <x:alignment horizontal="center" vertical="center"/>
    </x:xf>
    <x:xf numFmtId="203" fontId="10" fillId="5" borderId="9" xfId="0" applyNumberFormat="1" applyFont="1" applyFill="1" applyBorder="1" applyAlignment="1">
      <x:alignment horizontal="center" vertical="center"/>
    </x:xf>
    <x:xf numFmtId="0" fontId="5" fillId="9" borderId="0" xfId="0" applyNumberFormat="1" applyFont="1" applyFill="1" applyBorder="1" applyAlignment="1">
      <x:alignment horizontal="left" vertical="center"/>
    </x:xf>
    <x:xf numFmtId="0" fontId="5" fillId="9" borderId="10" xfId="0" applyNumberFormat="1" applyFont="1" applyFill="1" applyBorder="1" applyAlignment="1">
      <x:alignment horizontal="left" vertical="center"/>
    </x:xf>
    <x:xf numFmtId="0" fontId="5" fillId="9" borderId="11" xfId="0" applyNumberFormat="1" applyFont="1" applyFill="1" applyBorder="1" applyAlignment="1">
      <x:alignment horizontal="left" vertical="center"/>
    </x:xf>
    <x:xf numFmtId="0" fontId="5" fillId="9" borderId="12" xfId="0" applyNumberFormat="1" applyFont="1" applyFill="1" applyBorder="1" applyAlignment="1">
      <x:alignment horizontal="left" vertical="center"/>
    </x:xf>
    <x:xf numFmtId="0" fontId="5" fillId="9" borderId="18" xfId="0" applyNumberFormat="1" applyFont="1" applyFill="1" applyBorder="1" applyAlignment="1">
      <x:alignment horizontal="left" vertical="center"/>
    </x:xf>
    <x:xf numFmtId="0" fontId="5" fillId="9" borderId="19" xfId="0" applyNumberFormat="1" applyFont="1" applyFill="1" applyBorder="1" applyAlignment="1">
      <x:alignment horizontal="left" vertical="center"/>
    </x:xf>
    <x:xf numFmtId="0" fontId="5" fillId="9" borderId="13" xfId="0" applyNumberFormat="1" applyFont="1" applyFill="1" applyBorder="1" applyAlignment="1">
      <x:alignment horizontal="left" vertical="center"/>
    </x:xf>
    <x:xf numFmtId="0" fontId="5" fillId="9" borderId="14" xfId="0" applyNumberFormat="1" applyFont="1" applyFill="1" applyBorder="1" applyAlignment="1">
      <x:alignment horizontal="left" vertical="center"/>
    </x:xf>
    <x:xf numFmtId="0" fontId="5" fillId="9" borderId="15" xfId="0" applyNumberFormat="1" applyFont="1" applyFill="1" applyBorder="1" applyAlignment="1">
      <x:alignment horizontal="left" vertical="center"/>
    </x:xf>
    <x:xf numFmtId="0" fontId="5" fillId="9" borderId="10" xfId="0" applyNumberFormat="1" applyFont="1" applyFill="1" applyBorder="1" applyAlignment="1">
      <x:alignment horizontal="left" vertical="center" wrapText="1"/>
    </x:xf>
    <x:xf numFmtId="0" fontId="5" fillId="9" borderId="11" xfId="0" applyNumberFormat="1" applyFont="1" applyFill="1" applyBorder="1" applyAlignment="1">
      <x:alignment horizontal="left" vertical="center" wrapText="1"/>
    </x:xf>
    <x:xf numFmtId="0" fontId="5" fillId="9" borderId="12" xfId="0" applyNumberFormat="1" applyFont="1" applyFill="1" applyBorder="1" applyAlignment="1">
      <x:alignment horizontal="left" vertical="center" wrapText="1"/>
    </x:xf>
    <x:xf numFmtId="0" fontId="5" fillId="9" borderId="18" xfId="0" applyNumberFormat="1" applyFont="1" applyFill="1" applyBorder="1" applyAlignment="1">
      <x:alignment horizontal="left" vertical="center" wrapText="1"/>
    </x:xf>
    <x:xf numFmtId="0" fontId="5" fillId="9" borderId="0" xfId="0" applyNumberFormat="1" applyFont="1" applyFill="1" applyBorder="1" applyAlignment="1">
      <x:alignment horizontal="left" vertical="center" wrapText="1"/>
    </x:xf>
    <x:xf numFmtId="0" fontId="5" fillId="9" borderId="19" xfId="0" applyNumberFormat="1" applyFont="1" applyFill="1" applyBorder="1" applyAlignment="1">
      <x:alignment horizontal="left" vertical="center" wrapText="1"/>
    </x:xf>
    <x:xf numFmtId="0" fontId="5" fillId="9" borderId="13" xfId="0" applyNumberFormat="1" applyFont="1" applyFill="1" applyBorder="1" applyAlignment="1">
      <x:alignment horizontal="left" vertical="center" wrapText="1"/>
    </x:xf>
    <x:xf numFmtId="0" fontId="5" fillId="9" borderId="14" xfId="0" applyNumberFormat="1" applyFont="1" applyFill="1" applyBorder="1" applyAlignment="1">
      <x:alignment horizontal="left" vertical="center" wrapText="1"/>
    </x:xf>
    <x:xf numFmtId="0" fontId="5" fillId="9" borderId="15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20"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color rgb="FF607789"/>
      </x:font>
      <x:fill>
        <x:patternFill patternType="solid">
          <x:bgColor rgb="FFF3F6F8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color rgb="FF607789"/>
      </x:font>
      <x:fill>
        <x:patternFill patternType="solid">
          <x:bgColor rgb="FFF3F6F8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color rgb="FF607789"/>
      </x:font>
      <x:fill>
        <x:patternFill patternType="solid">
          <x:bgColor rgb="FFF3F6F8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color rgb="FF607789"/>
      </x:font>
      <x:fill>
        <x:patternFill patternType="solid">
          <x:bgColor rgb="FFF3F6F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e900da47e4866" /><Relationship Type="http://schemas.openxmlformats.org/officeDocument/2006/relationships/theme" Target="/xl/theme/theme1.xml" Id="R705930c862d14c2a" /><Relationship Type="http://schemas.openxmlformats.org/officeDocument/2006/relationships/sharedStrings" Target="/xl/sharedStrings.xml" Id="Re1c8d73816764867" /><Relationship Type="http://schemas.openxmlformats.org/officeDocument/2006/relationships/worksheet" Target="/xl/worksheets/sheet1.xml" Id="R9b8ed8ccdd5e478b" /><Relationship Type="http://schemas.openxmlformats.org/officeDocument/2006/relationships/worksheet" Target="/xl/worksheets/sheet2.xml" Id="R36226bda8c5942fe" /><Relationship Type="http://schemas.openxmlformats.org/officeDocument/2006/relationships/worksheet" Target="/xl/worksheets/sheet3.xml" Id="R73d69776e40c4830" /><Relationship Type="http://schemas.openxmlformats.org/officeDocument/2006/relationships/worksheet" Target="/xl/worksheets/sheet4.xml" Id="R9a3584300e384cbb" /><Relationship Type="http://schemas.openxmlformats.org/officeDocument/2006/relationships/worksheet" Target="/xl/worksheets/sheet5.xml" Id="Rf9aa3539af6c496f" /><Relationship Type="http://schemas.openxmlformats.org/officeDocument/2006/relationships/worksheet" Target="/xl/worksheets/sheet6.xml" Id="R0c4142eca8e54978" /><Relationship Type="http://schemas.openxmlformats.org/officeDocument/2006/relationships/worksheet" Target="/xl/worksheets/sheet7.xml" Id="R655f878cf7474cc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1936e56a05b497a" /><Relationship Type="http://schemas.openxmlformats.org/officeDocument/2006/relationships/chart" Target="/xl/drawings/charts/chart2.xml" Id="R20bd90d93fce4c4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Órdenes por estado de entrega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Órdenes</c:v>
          </c:tx>
          <c:cat>
            <c:strRef>
              <c:f>'PANEL-DE-CONTROL'!$A$16:$A$21</c:f>
              <c:strCache>
                <c:ptCount val="0"/>
              </c:strCache>
            </c:strRef>
          </c:cat>
          <c:val>
            <c:numRef>
              <c:f>'PANEL-DE-CONTROL'!$B$16:$B$21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Valor pedido y pendiente por proveedor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Valor pedido</c:v>
          </c:tx>
          <c:cat>
            <c:strRef>
              <c:f>'PANEL-DE-CONTROL'!$D$16:$D$21</c:f>
              <c:strCache>
                <c:ptCount val="0"/>
              </c:strCache>
            </c:strRef>
          </c:cat>
          <c:val>
            <c:numRef>
              <c:f>'PANEL-DE-CONTROL'!$E$16:$E$21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Valor pendiente</c:v>
          </c:tx>
          <c:cat>
            <c:strRef>
              <c:f>'PANEL-DE-CONTROL'!$D$16:$D$21</c:f>
              <c:strCache>
                <c:ptCount val="0"/>
              </c:strCache>
            </c:strRef>
          </c:cat>
          <c:val>
            <c:numRef>
              <c:f>'PANEL-DE-CONTROL'!$F$16:$F$21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5</xdr:col>
      <xdr:colOff>0</xdr:colOff>
      <xdr:row>44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1936e56a05b497a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10</xdr:col>
      <xdr:colOff>0</xdr:colOff>
      <xdr:row>44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0bd90d93fce4c4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urchaseOrdersTableES" displayName="PurchaseOrdersTableES" ref="A10:S110" headerRowCount="1" totalsRowCount="0" totalsRowShown="0">
  <x:autoFilter ref="A10:S110"/>
  <x:tableColumns count="19">
    <x:tableColumn id="1" name="N.º de orden"/>
    <x:tableColumn id="2" name="Fecha de orden"/>
    <x:tableColumn id="3" name="Proveedor"/>
    <x:tableColumn id="4" name="Comprador"/>
    <x:tableColumn id="5" name="Área"/>
    <x:tableColumn id="6" name="Fecha prevista"/>
    <x:tableColumn id="7" name="Condiciones de pago"/>
    <x:tableColumn id="8" name="Estado de la orden"/>
    <x:tableColumn id="9" name="Impuesto"/>
    <x:tableColumn id="10" name="Envío"/>
    <x:tableColumn id="11" name="Observaciones"/>
    <x:tableColumn id="12" name="N.º de líneas"/>
    <x:tableColumn id="13" name="Valor de mercancía"/>
    <x:tableColumn id="14" name="Valor del impuesto"/>
    <x:tableColumn id="15" name="Total de la orden"/>
    <x:tableColumn id="16" name="Valor recibido"/>
    <x:tableColumn id="17" name="Valor pendiente"/>
    <x:tableColumn id="18" name="Recepción %"/>
    <x:tableColumn id="19" name="Estado de entreg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rderLinesTableES" displayName="OrderLinesTableES" ref="A10:Q210" headerRowCount="1" totalsRowCount="0" totalsRowShown="0">
  <x:autoFilter ref="A10:Q210"/>
  <x:tableColumns count="17">
    <x:tableColumn id="1" name="ID de línea"/>
    <x:tableColumn id="2" name="N.º de orden"/>
    <x:tableColumn id="3" name="Código de artículo"/>
    <x:tableColumn id="4" name="Descripción"/>
    <x:tableColumn id="5" name="Categoría"/>
    <x:tableColumn id="6" name="Cantidad pedida"/>
    <x:tableColumn id="7" name="Coste unitario"/>
    <x:tableColumn id="8" name="Cantidad recibida"/>
    <x:tableColumn id="9" name="Fecha de recepción"/>
    <x:tableColumn id="10" name="Condición"/>
    <x:tableColumn id="11" name="Observaciones"/>
    <x:tableColumn id="12" name="Estado de la orden"/>
    <x:tableColumn id="13" name="Valor de línea"/>
    <x:tableColumn id="14" name="Valor recibido"/>
    <x:tableColumn id="15" name="Cantidad pendiente"/>
    <x:tableColumn id="16" name="Valor pendiente"/>
    <x:tableColumn id="17" name="Aviso de recepció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OrderSummaryTableES" displayName="OrderSummaryTableES" ref="A10:R110" headerRowCount="1" totalsRowCount="0" totalsRowShown="0">
  <x:autoFilter ref="A10:R110"/>
  <x:tableColumns count="18">
    <x:tableColumn id="1" name="N.º de orden"/>
    <x:tableColumn id="2" name="Proveedor"/>
    <x:tableColumn id="3" name="Comprador"/>
    <x:tableColumn id="4" name="Área"/>
    <x:tableColumn id="5" name="Fecha de orden"/>
    <x:tableColumn id="6" name="Fecha prevista"/>
    <x:tableColumn id="7" name="Estado"/>
    <x:tableColumn id="8" name="N.º de líneas"/>
    <x:tableColumn id="9" name="Valor de mercancía"/>
    <x:tableColumn id="10" name="Impuesto"/>
    <x:tableColumn id="11" name="Envío"/>
    <x:tableColumn id="12" name="Total de la orden"/>
    <x:tableColumn id="13" name="Valor recibido"/>
    <x:tableColumn id="14" name="Valor pendiente"/>
    <x:tableColumn id="15" name="Recepción %"/>
    <x:tableColumn id="16" name="Estado de entrega"/>
    <x:tableColumn id="17" name="Días de retraso"/>
    <x:tableColumn id="18" name="Prioridad de revis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6579c3229a694ab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0d24d8bbd505459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09ce2dbe4330455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84693abb2ff9424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7" hidden="0" customWidth="1"/>
    <x:col min="3" max="3" width="31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6" customHeight="1">
      <x:c r="A1" s="5" t="str">
        <x:v>Rastreador de órdenes de compra para pequeñas empresas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8" customHeight="1">
      <x:c r="A3" s="8" t="str">
        <x:v>Controle órdenes de compra, recepciones, compromisos pendientes, vencimientos e indicadores de compras en Excel 2021.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INICIO RÁPIDO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6" customHeight="1">
      <x:c r="A7" s="12" t="str">
        <x:v>1</x:v>
      </x:c>
      <x:c r="B7" s="15" t="str">
        <x:v>Revise la configuración</x:v>
      </x:c>
      <x:c r="C7" s="18" t="str">
        <x:v>Confirme la fecha de corte, moneda, plazo próximo, umbral de valor y listas localizadas.</x:v>
      </x:c>
      <x:c r="D7" s="18"/>
      <x:c r="E7" s="18"/>
      <x:c r="F7" s="18"/>
      <x:c r="G7" s="18"/>
      <x:c r="H7" s="18"/>
    </x:row>
    <x:row r="8" ht="36" customHeight="1">
      <x:c r="A8" s="12" t="str">
        <x:v>2</x:v>
      </x:c>
      <x:c r="B8" s="15" t="str">
        <x:v>Registre las órdenes</x:v>
      </x:c>
      <x:c r="C8" s="18" t="str">
        <x:v>Cree una fila única por orden con proveedor, comprador, fecha prevista, estado, impuesto y envío.</x:v>
      </x:c>
      <x:c r="D8" s="18"/>
      <x:c r="E8" s="18"/>
      <x:c r="F8" s="18"/>
      <x:c r="G8" s="18"/>
      <x:c r="H8" s="18"/>
    </x:row>
    <x:row r="9" ht="36" customHeight="1">
      <x:c r="A9" s="12" t="str">
        <x:v>3</x:v>
      </x:c>
      <x:c r="B9" s="15" t="str">
        <x:v>Añada las líneas</x:v>
      </x:c>
      <x:c r="C9" s="18" t="str">
        <x:v>Asigne cada línea a una orden y registre cantidades, coste, recepción, fecha, condición y observaciones.</x:v>
      </x:c>
      <x:c r="D9" s="18"/>
      <x:c r="E9" s="18"/>
      <x:c r="F9" s="18"/>
      <x:c r="G9" s="18"/>
      <x:c r="H9" s="18"/>
    </x:row>
    <x:row r="10" ht="36" customHeight="1">
      <x:c r="A10" s="12" t="str">
        <x:v>4</x:v>
      </x:c>
      <x:c r="B10" s="15" t="str">
        <x:v>Revise compromisos</x:v>
      </x:c>
      <x:c r="C10" s="18" t="str">
        <x:v>Use RESUMEN-DE-PEDIDOS y RESUMEN-MENSUAL para analizar pendientes, vencimientos y actividad.</x:v>
      </x:c>
      <x:c r="D10" s="18"/>
      <x:c r="E10" s="18"/>
      <x:c r="F10" s="18"/>
      <x:c r="G10" s="18"/>
      <x:c r="H10" s="18"/>
    </x:row>
    <x:row r="11" ht="36" customHeight="1">
      <x:c r="A11" s="12" t="str">
        <x:v>5</x:v>
      </x:c>
      <x:c r="B11" s="15" t="str">
        <x:v>Actúe fuera del libro</x:v>
      </x:c>
      <x:c r="C11" s="18" t="str">
        <x:v>Use PANEL-DE-CONTROL y emita órdenes o contabilice inventario y compras en sus sistemas autorizados.</x:v>
      </x:c>
      <x:c r="D11" s="18"/>
      <x:c r="E11" s="18"/>
      <x:c r="F11" s="18"/>
      <x:c r="G11" s="18"/>
      <x:c r="H11" s="18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GUÍA DE CELDAS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21" t="str">
        <x:v>Celdas de entrada</x:v>
      </x:c>
      <x:c r="B16" s="24" t="str">
        <x:v>Amarillo claro</x:v>
      </x:c>
      <x:c r="C16" s="17" t="str">
        <x:v>Introducir o sustituir datos</x:v>
      </x:c>
      <x:c r="D16" s="3"/>
      <x:c r="E16" s="3"/>
      <x:c r="F16" s="3"/>
      <x:c r="G16" s="3"/>
      <x:c r="H16" s="3"/>
    </x:row>
    <x:row r="17">
      <x:c r="A17" s="21" t="str">
        <x:v>Celdas calculadas</x:v>
      </x:c>
      <x:c r="B17" s="24" t="str">
        <x:v>Azul claro</x:v>
      </x:c>
      <x:c r="C17" s="17" t="str">
        <x:v>Fórmulas; no sobrescribir</x:v>
      </x:c>
      <x:c r="D17" s="3"/>
      <x:c r="E17" s="3"/>
      <x:c r="F17" s="3"/>
      <x:c r="G17" s="3"/>
      <x:c r="H17" s="3"/>
    </x:row>
    <x:row r="18">
      <x:c r="A18" s="21" t="str">
        <x:v>Avisos</x:v>
      </x:c>
      <x:c r="B18" s="24" t="str">
        <x:v>Ámbar o rojo</x:v>
      </x:c>
      <x:c r="C18" s="17" t="str">
        <x:v>Revisar vencimientos, importes altos o excesos recibidos</x:v>
      </x:c>
      <x:c r="D18" s="3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34" t="str">
        <x:v>Diseñado para una empresa, una moneda, hasta 100 órdenes y 200 líneas. Registra una posición de recepción actual por línea; no emite órdenes, conserva historial de entregas ni contabiliza inventario o compras. | LSTB-PRODUCT-014 | v1.0.0 | ES</x:v>
      </x:c>
      <x:c r="B21" s="35"/>
      <x:c r="C21" s="35"/>
      <x:c r="D21" s="35"/>
      <x:c r="E21" s="35"/>
      <x:c r="F21" s="35"/>
      <x:c r="G21" s="35"/>
      <x:c r="H21" s="36"/>
    </x:row>
    <x:row r="22">
      <x:c r="A22" s="37"/>
      <x:c r="B22" s="38"/>
      <x:c r="C22" s="38"/>
      <x:c r="D22" s="38"/>
      <x:c r="E22" s="38"/>
      <x:c r="F22" s="38"/>
      <x:c r="G22" s="38"/>
      <x:c r="H22" s="39"/>
    </x:row>
    <x:row r="23">
      <x:c r="A23" s="40"/>
      <x:c r="B23" s="41"/>
      <x:c r="C23" s="41"/>
      <x:c r="D23" s="41"/>
      <x:c r="E23" s="41"/>
      <x:c r="F23" s="41"/>
      <x:c r="G23" s="41"/>
      <x:c r="H23" s="42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C7:H7"/>
    <x:mergeCell ref="C8:H8"/>
    <x:mergeCell ref="C9:H9"/>
    <x:mergeCell ref="C10:H10"/>
    <x:mergeCell ref="C11:H11"/>
    <x:mergeCell ref="A14:H14"/>
    <x:mergeCell ref="A21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5" hidden="0" customWidth="1"/>
    <x:col min="3" max="3" width="38" hidden="0" customWidth="1"/>
    <x:col min="4" max="4" width="3" hidden="0" customWidth="1"/>
    <x:col min="5" max="5" width="28" hidden="0" customWidth="1"/>
    <x:col min="6" max="6" width="21" hidden="0" customWidth="1"/>
    <x:col min="7" max="7" width="28" hidden="0" customWidth="1"/>
    <x:col min="8" max="8" width="24" hidden="0" customWidth="1"/>
    <x:col min="9" max="9" width="25" hidden="0" customWidth="1"/>
    <x:col min="10" max="10" width="22" hidden="0" customWidth="1"/>
    <x:col min="11" max="11" width="22" hidden="0" customWidth="1"/>
  </x:cols>
  <x:sheetData>
    <x:row r="1" ht="26" customHeight="1">
      <x:c r="A1" s="5" t="str">
        <x:v>CONFIGURACIÓN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8" customHeight="1">
      <x:c r="A3" s="8" t="str">
        <x:v>Actualice los parámetros y las listas que alimentan los desplegables de compras.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10" t="str">
        <x:v>PARÁMETROS DE COMPRAS</x:v>
      </x:c>
      <x:c r="B5" s="10"/>
      <x:c r="C5" s="10"/>
      <x:c r="D5" s="3"/>
      <x:c r="E5" s="57" t="str">
        <x:v>Proveedores</x:v>
      </x:c>
      <x:c r="F5" s="57" t="str">
        <x:v>Compradores</x:v>
      </x:c>
      <x:c r="G5" s="57" t="str">
        <x:v>Áreas</x:v>
      </x:c>
      <x:c r="H5" s="57" t="str">
        <x:v>Categorías</x:v>
      </x:c>
      <x:c r="I5" s="57" t="str">
        <x:v>Condiciones de pago</x:v>
      </x:c>
      <x:c r="J5" s="57" t="str">
        <x:v>Estado de la orden</x:v>
      </x:c>
      <x:c r="K5" s="57" t="str">
        <x:v>Condición</x:v>
      </x:c>
    </x:row>
    <x:row r="6" ht="25" customHeight="1">
      <x:c r="A6" s="43" t="str">
        <x:v>Nombre de la empresa</x:v>
      </x:c>
      <x:c r="B6" s="44" t="str">
        <x:v>Comercial Puerto Azul</x:v>
      </x:c>
      <x:c r="C6" s="50" t="str">
        <x:v>Sustituya por el nombre real</x:v>
      </x:c>
      <x:c r="D6" s="3"/>
      <x:c r="E6" s="44" t="str">
        <x:v>Suministros Oficina Metro</x:v>
      </x:c>
      <x:c r="F6" s="44" t="str">
        <x:v>Maya Chen</x:v>
      </x:c>
      <x:c r="G6" s="44" t="str">
        <x:v>Administración</x:v>
      </x:c>
      <x:c r="H6" s="44" t="str">
        <x:v>Material de oficina</x:v>
      </x:c>
      <x:c r="I6" s="44" t="str">
        <x:v>Pago contra entrega</x:v>
      </x:c>
      <x:c r="J6" s="44" t="str">
        <x:v>Borrador</x:v>
      </x:c>
      <x:c r="K6" s="44" t="str">
        <x:v>Correcto</x:v>
      </x:c>
    </x:row>
    <x:row r="7" ht="25" customHeight="1">
      <x:c r="A7" s="43" t="str">
        <x:v>Fecha de corte</x:v>
      </x:c>
      <x:c r="B7" s="51" t="n">
        <x:v>46245</x:v>
      </x:c>
      <x:c r="C7" s="50" t="str">
        <x:v>Fecha manual para determinar vencimientos</x:v>
      </x:c>
      <x:c r="D7" s="3"/>
      <x:c r="E7" s="44" t="str">
        <x:v>Embalajes del Golfo</x:v>
      </x:c>
      <x:c r="F7" s="44" t="str">
        <x:v>Omar Hassan</x:v>
      </x:c>
      <x:c r="G7" s="44" t="str">
        <x:v>Operaciones</x:v>
      </x:c>
      <x:c r="H7" s="44" t="str">
        <x:v>Embalaje</x:v>
      </x:c>
      <x:c r="I7" s="44" t="str">
        <x:v>30 días</x:v>
      </x:c>
      <x:c r="J7" s="44" t="str">
        <x:v>Aprobada</x:v>
      </x:c>
      <x:c r="K7" s="44" t="str">
        <x:v>Dañado</x:v>
      </x:c>
    </x:row>
    <x:row r="8" ht="25" customHeight="1">
      <x:c r="A8" s="43" t="str">
        <x:v>Código de moneda</x:v>
      </x:c>
      <x:c r="B8" s="44" t="str">
        <x:v>AED</x:v>
      </x:c>
      <x:c r="C8" s="50" t="str">
        <x:v>Solo etiqueta; una moneda por libro</x:v>
      </x:c>
      <x:c r="D8" s="3"/>
      <x:c r="E8" s="44" t="str">
        <x:v>Tecnología Brillante</x:v>
      </x:c>
      <x:c r="F8" s="44" t="str">
        <x:v>Lina Park</x:v>
      </x:c>
      <x:c r="G8" s="44" t="str">
        <x:v>Tecnología de la información</x:v>
      </x:c>
      <x:c r="H8" s="44" t="str">
        <x:v>Tecnología</x:v>
      </x:c>
      <x:c r="I8" s="44" t="str">
        <x:v>45 días</x:v>
      </x:c>
      <x:c r="J8" s="44" t="str">
        <x:v>Emitida</x:v>
      </x:c>
      <x:c r="K8" s="44" t="str">
        <x:v>Retenido</x:v>
      </x:c>
    </x:row>
    <x:row r="9" ht="25" customHeight="1">
      <x:c r="A9" s="43" t="str">
        <x:v>Días para próximo vencimiento</x:v>
      </x:c>
      <x:c r="B9" s="52" t="n">
        <x:v>7</x:v>
      </x:c>
      <x:c r="C9" s="50" t="str">
        <x:v>Días posteriores a la fecha de corte</x:v>
      </x:c>
      <x:c r="D9" s="3"/>
      <x:c r="E9" s="44" t="str">
        <x:v>Mayorista LimpioPro</x:v>
      </x:c>
      <x:c r="F9" s="44" t="str">
        <x:v>James Cole</x:v>
      </x:c>
      <x:c r="G9" s="44" t="str">
        <x:v>Instalaciones</x:v>
      </x:c>
      <x:c r="H9" s="44" t="str">
        <x:v>Limpieza</x:v>
      </x:c>
      <x:c r="I9" s="44" t="str">
        <x:v>60 días</x:v>
      </x:c>
      <x:c r="J9" s="44" t="str">
        <x:v>Cerrada</x:v>
      </x:c>
      <x:c r="K9" s="44" t="str">
        <x:v>Devolución pendiente</x:v>
      </x:c>
    </x:row>
    <x:row r="10" ht="25" customHeight="1">
      <x:c r="A10" s="43" t="str">
        <x:v>Umbral de valor alto</x:v>
      </x:c>
      <x:c r="B10" s="53" t="n">
        <x:v>1000</x:v>
      </x:c>
      <x:c r="C10" s="50" t="str">
        <x:v>Valor pendiente que activa revisión</x:v>
      </x:c>
      <x:c r="D10" s="3"/>
      <x:c r="E10" s="44" t="str">
        <x:v>Alimentos del Desierto</x:v>
      </x:c>
      <x:c r="F10" s="44"/>
      <x:c r="G10" s="44"/>
      <x:c r="H10" s="44" t="str">
        <x:v>Alimentos y bebidas</x:v>
      </x:c>
      <x:c r="I10" s="44"/>
      <x:c r="J10" s="44" t="str">
        <x:v>Cancelada</x:v>
      </x:c>
      <x:c r="K10" s="44"/>
    </x:row>
    <x:row r="11" ht="25" customHeight="1">
      <x:c r="A11" s="43" t="str">
        <x:v>ID del producto</x:v>
      </x:c>
      <x:c r="B11" s="47" t="str">
        <x:v>LSTB-PRODUCT-014</x:v>
      </x:c>
      <x:c r="C11" s="50" t="str">
        <x:v>Identificador permanente</x:v>
      </x:c>
      <x:c r="D11" s="3"/>
      <x:c r="E11" s="44" t="str">
        <x:v>Equipos Trabajo Seguro</x:v>
      </x:c>
      <x:c r="F11" s="44"/>
      <x:c r="G11" s="44"/>
      <x:c r="H11" s="44" t="str">
        <x:v>Equipos de seguridad</x:v>
      </x:c>
      <x:c r="I11" s="44"/>
      <x:c r="J11" s="44"/>
      <x:c r="K11" s="44"/>
    </x:row>
    <x:row r="12" ht="25" customHeight="1">
      <x:c r="A12" s="43" t="str">
        <x:v>Versión</x:v>
      </x:c>
      <x:c r="B12" s="47" t="str">
        <x:v>1.0.0</x:v>
      </x:c>
      <x:c r="C12" s="50" t="str">
        <x:v>Versión actual del libro</x:v>
      </x:c>
      <x:c r="D12" s="3"/>
      <x:c r="E12" s="44"/>
      <x:c r="F12" s="44"/>
      <x:c r="G12" s="44"/>
      <x:c r="H12" s="44"/>
      <x:c r="I12" s="44"/>
      <x:c r="J12" s="44"/>
      <x:c r="K12" s="44"/>
    </x:row>
    <x:row r="13" ht="25" customHeight="1">
      <x:c r="A13" s="3"/>
      <x:c r="B13" s="3"/>
      <x:c r="C13" s="3"/>
      <x:c r="D13" s="3"/>
      <x:c r="E13" s="44"/>
      <x:c r="F13" s="44"/>
      <x:c r="G13" s="44"/>
      <x:c r="H13" s="44"/>
      <x:c r="I13" s="44"/>
      <x:c r="J13" s="44"/>
      <x:c r="K13" s="44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</x:row>
  </x:sheetData>
  <x:mergeCells>
    <x:mergeCell ref="A1:K2"/>
    <x:mergeCell ref="A3:K3"/>
    <x:mergeCell ref="A5:C5"/>
  </x:mergeCells>
  <x:dataValidations count="2">
    <x:dataValidation type="whole" operator="between" sqref="B9">
      <x:formula1>0</x:formula1>
      <x:formula2>60</x:formula2>
    </x:dataValidation>
    <x:dataValidation type="decimal" operator="between" sqref="B10">
      <x:formula1>0</x:formula1>
      <x:formula2>1000000000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8" hidden="0" customWidth="1"/>
    <x:col min="4" max="4" width="20" hidden="0" customWidth="1"/>
    <x:col min="5" max="5" width="24" hidden="0" customWidth="1"/>
    <x:col min="6" max="6" width="18" hidden="0" customWidth="1"/>
    <x:col min="7" max="7" width="21" hidden="0" customWidth="1"/>
    <x:col min="8" max="8" width="19" hidden="0" customWidth="1"/>
    <x:col min="9" max="9" width="15" hidden="0" customWidth="1"/>
    <x:col min="10" max="10" width="16" hidden="0" customWidth="1"/>
    <x:col min="11" max="11" width="34" hidden="0" customWidth="1"/>
    <x:col min="12" max="12" width="15" hidden="0" customWidth="1"/>
    <x:col min="13" max="13" width="21" hidden="0" customWidth="1"/>
    <x:col min="14" max="14" width="17" hidden="0" customWidth="1"/>
    <x:col min="15" max="15" width="19" hidden="0" customWidth="1"/>
    <x:col min="16" max="16" width="19" hidden="0" customWidth="1"/>
    <x:col min="17" max="17" width="20" hidden="0" customWidth="1"/>
    <x:col min="18" max="18" width="16" hidden="0" customWidth="1"/>
    <x:col min="19" max="19" width="21" hidden="0" customWidth="1"/>
  </x:cols>
  <x:sheetData>
    <x:row r="1" ht="26" customHeight="1">
      <x:c r="A1" s="5" t="str">
        <x:v>ÓRDENES DE COMPRA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8" customHeight="1">
      <x:c r="A3" s="8" t="str">
        <x:v>Registre una orden por fila en amarillo. Las columnas azules resumen líneas y recepciones vinculadas.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>
      <x:c r="A5" s="38" t="str">
        <x:v>Los números de orden deben ser únicos. Las canceladas siguen visibles, pero se excluyen de los totales activos.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  <x:c r="L5" s="38"/>
      <x:c r="M5" s="38"/>
      <x:c r="N5" s="38"/>
      <x:c r="O5" s="38"/>
      <x:c r="P5" s="38"/>
      <x:c r="Q5" s="38"/>
      <x:c r="R5" s="38"/>
      <x:c r="S5" s="38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</x:row>
    <x:row r="10" ht="48" customHeight="1">
      <x:c r="A10" s="57" t="str">
        <x:v>N.º de orden</x:v>
      </x:c>
      <x:c r="B10" s="57" t="str">
        <x:v>Fecha de orden</x:v>
      </x:c>
      <x:c r="C10" s="57" t="str">
        <x:v>Proveedor</x:v>
      </x:c>
      <x:c r="D10" s="57" t="str">
        <x:v>Comprador</x:v>
      </x:c>
      <x:c r="E10" s="57" t="str">
        <x:v>Área</x:v>
      </x:c>
      <x:c r="F10" s="57" t="str">
        <x:v>Fecha prevista</x:v>
      </x:c>
      <x:c r="G10" s="57" t="str">
        <x:v>Condiciones de pago</x:v>
      </x:c>
      <x:c r="H10" s="57" t="str">
        <x:v>Estado de la orden</x:v>
      </x:c>
      <x:c r="I10" s="57" t="str">
        <x:v>Impuesto</x:v>
      </x:c>
      <x:c r="J10" s="57" t="str">
        <x:v>Envío</x:v>
      </x:c>
      <x:c r="K10" s="57" t="str">
        <x:v>Observaciones</x:v>
      </x:c>
      <x:c r="L10" s="57" t="str">
        <x:v>N.º de líneas</x:v>
      </x:c>
      <x:c r="M10" s="57" t="str">
        <x:v>Valor de mercancía</x:v>
      </x:c>
      <x:c r="N10" s="57" t="str">
        <x:v>Valor del impuesto</x:v>
      </x:c>
      <x:c r="O10" s="57" t="str">
        <x:v>Total de la orden</x:v>
      </x:c>
      <x:c r="P10" s="57" t="str">
        <x:v>Valor recibido</x:v>
      </x:c>
      <x:c r="Q10" s="57" t="str">
        <x:v>Valor pendiente</x:v>
      </x:c>
      <x:c r="R10" s="57" t="str">
        <x:v>Recepción %</x:v>
      </x:c>
      <x:c r="S10" s="57" t="str">
        <x:v>Estado de entrega</x:v>
      </x:c>
    </x:row>
    <x:row r="11">
      <x:c r="A11" s="44" t="str">
        <x:v>PO-001</x:v>
      </x:c>
      <x:c r="B11" s="51" t="n">
        <x:v>46034</x:v>
      </x:c>
      <x:c r="C11" s="44" t="str">
        <x:v>Suministros Oficina Metro</x:v>
      </x:c>
      <x:c r="D11" s="44" t="str">
        <x:v>Maya Chen</x:v>
      </x:c>
      <x:c r="E11" s="44" t="str">
        <x:v>Administración</x:v>
      </x:c>
      <x:c r="F11" s="51" t="n">
        <x:v>46042</x:v>
      </x:c>
      <x:c r="G11" s="44" t="str">
        <x:v>30 días</x:v>
      </x:c>
      <x:c r="H11" s="44" t="str">
        <x:v>Cerrada</x:v>
      </x:c>
      <x:c r="I11" s="58" t="n">
        <x:v>0.05</x:v>
      </x:c>
      <x:c r="J11" s="53" t="n">
        <x:v>25</x:v>
      </x:c>
      <x:c r="K11" s="44" t="str">
        <x:v>Reposición trimestral de oficina</x:v>
      </x:c>
      <x:c r="L11" s="46" t="n">
        <x:f>IF(A11="","",COUNTIF('LÍNEAS-DE-PEDIDO'!$B$11:$B$210,A11))</x:f>
        <x:v>2</x:v>
      </x:c>
      <x:c r="M11" s="59" t="n">
        <x:f>IF(A11="","",SUMIF('LÍNEAS-DE-PEDIDO'!$B$11:$B$210,A11,'LÍNEAS-DE-PEDIDO'!$M$11:$M$210))</x:f>
        <x:v>1050</x:v>
      </x:c>
      <x:c r="N11" s="59" t="n">
        <x:f>IF(A11="","",M11*I11)</x:f>
        <x:v>52.5</x:v>
      </x:c>
      <x:c r="O11" s="59" t="n">
        <x:f>IF(A11="","",M11+N11+J11)</x:f>
        <x:v>1127.5</x:v>
      </x:c>
      <x:c r="P11" s="59" t="n">
        <x:f>IF(A11="","",SUMIF('LÍNEAS-DE-PEDIDO'!$B$11:$B$210,A11,'LÍNEAS-DE-PEDIDO'!$N$11:$N$210))</x:f>
        <x:v>1050</x:v>
      </x:c>
      <x:c r="Q11" s="59" t="n">
        <x:f>IF(A11="","",IF(H11="Cancelada",0,MAX(M11-P11,0)))</x:f>
        <x:v>0</x:v>
      </x:c>
      <x:c r="R11" s="60" t="n">
        <x:f>IF(A11="","",IF(M11=0,0,MIN(P11/M11,1)))</x:f>
        <x:v>1</x:v>
      </x:c>
      <x:c r="S11" s="46" t="str">
        <x:f>IF(A11="","",IF(H11="Cancelada","Cancelada",IF(L11=0,"Sin líneas",IF(Q11=0,"Completa",IF(F11&lt;'CONFIGURACIÓN'!$B$7,"Vencida",IF(F11&lt;='CONFIGURACIÓN'!$B$7+'CONFIGURACIÓN'!$B$9,"Próxima a vencer","Abierta"))))))</x:f>
        <x:v>Completa</x:v>
      </x:c>
    </x:row>
    <x:row r="12">
      <x:c r="A12" s="44" t="str">
        <x:v>PO-002</x:v>
      </x:c>
      <x:c r="B12" s="51" t="n">
        <x:v>46056</x:v>
      </x:c>
      <x:c r="C12" s="44" t="str">
        <x:v>Embalajes del Golfo</x:v>
      </x:c>
      <x:c r="D12" s="44" t="str">
        <x:v>Omar Hassan</x:v>
      </x:c>
      <x:c r="E12" s="44" t="str">
        <x:v>Operaciones</x:v>
      </x:c>
      <x:c r="F12" s="51" t="n">
        <x:v>46068</x:v>
      </x:c>
      <x:c r="G12" s="44" t="str">
        <x:v>30 días</x:v>
      </x:c>
      <x:c r="H12" s="44" t="str">
        <x:v>Emitida</x:v>
      </x:c>
      <x:c r="I12" s="58" t="n">
        <x:v>0.05</x:v>
      </x:c>
      <x:c r="J12" s="53" t="n">
        <x:v>40</x:v>
      </x:c>
      <x:c r="K12" s="44" t="str">
        <x:v>Reposición de embalaje</x:v>
      </x:c>
      <x:c r="L12" s="46" t="n">
        <x:f>IF(A12="","",COUNTIF('LÍNEAS-DE-PEDIDO'!$B$11:$B$210,A12))</x:f>
        <x:v>2</x:v>
      </x:c>
      <x:c r="M12" s="59" t="n">
        <x:f>IF(A12="","",SUMIF('LÍNEAS-DE-PEDIDO'!$B$11:$B$210,A12,'LÍNEAS-DE-PEDIDO'!$M$11:$M$210))</x:f>
        <x:v>960</x:v>
      </x:c>
      <x:c r="N12" s="59" t="n">
        <x:f>IF(A12="","",M12*I12)</x:f>
        <x:v>48</x:v>
      </x:c>
      <x:c r="O12" s="59" t="n">
        <x:f>IF(A12="","",M12+N12+J12)</x:f>
        <x:v>1048</x:v>
      </x:c>
      <x:c r="P12" s="59" t="n">
        <x:f>IF(A12="","",SUMIF('LÍNEAS-DE-PEDIDO'!$B$11:$B$210,A12,'LÍNEAS-DE-PEDIDO'!$N$11:$N$210))</x:f>
        <x:v>720</x:v>
      </x:c>
      <x:c r="Q12" s="59" t="n">
        <x:f>IF(A12="","",IF(H12="Cancelada",0,MAX(M12-P12,0)))</x:f>
        <x:v>240</x:v>
      </x:c>
      <x:c r="R12" s="60" t="n">
        <x:f>IF(A12="","",IF(M12=0,0,MIN(P12/M12,1)))</x:f>
        <x:v>0.75</x:v>
      </x:c>
      <x:c r="S12" s="46" t="str">
        <x:f>IF(A12="","",IF(H12="Cancelada","Cancelada",IF(L12=0,"Sin líneas",IF(Q12=0,"Completa",IF(F12&lt;'CONFIGURACIÓN'!$B$7,"Vencida",IF(F12&lt;='CONFIGURACIÓN'!$B$7+'CONFIGURACIÓN'!$B$9,"Próxima a vencer","Abierta"))))))</x:f>
        <x:v>Vencida</x:v>
      </x:c>
    </x:row>
    <x:row r="13">
      <x:c r="A13" s="44" t="str">
        <x:v>PO-003</x:v>
      </x:c>
      <x:c r="B13" s="51" t="n">
        <x:v>46091</x:v>
      </x:c>
      <x:c r="C13" s="44" t="str">
        <x:v>Tecnología Brillante</x:v>
      </x:c>
      <x:c r="D13" s="44" t="str">
        <x:v>Lina Park</x:v>
      </x:c>
      <x:c r="E13" s="44" t="str">
        <x:v>Tecnología de la información</x:v>
      </x:c>
      <x:c r="F13" s="51" t="n">
        <x:v>46106</x:v>
      </x:c>
      <x:c r="G13" s="44" t="str">
        <x:v>45 días</x:v>
      </x:c>
      <x:c r="H13" s="44" t="str">
        <x:v>Cerrada</x:v>
      </x:c>
      <x:c r="I13" s="58" t="n">
        <x:v>0.05</x:v>
      </x:c>
      <x:c r="J13" s="53" t="n">
        <x:v>30</x:v>
      </x:c>
      <x:c r="K13" s="44" t="str">
        <x:v>Renovación tecnológica</x:v>
      </x:c>
      <x:c r="L13" s="46" t="n">
        <x:f>IF(A13="","",COUNTIF('LÍNEAS-DE-PEDIDO'!$B$11:$B$210,A13))</x:f>
        <x:v>2</x:v>
      </x:c>
      <x:c r="M13" s="59" t="n">
        <x:f>IF(A13="","",SUMIF('LÍNEAS-DE-PEDIDO'!$B$11:$B$210,A13,'LÍNEAS-DE-PEDIDO'!$M$11:$M$210))</x:f>
        <x:v>1870</x:v>
      </x:c>
      <x:c r="N13" s="59" t="n">
        <x:f>IF(A13="","",M13*I13)</x:f>
        <x:v>93.5</x:v>
      </x:c>
      <x:c r="O13" s="59" t="n">
        <x:f>IF(A13="","",M13+N13+J13)</x:f>
        <x:v>1993.5</x:v>
      </x:c>
      <x:c r="P13" s="59" t="n">
        <x:f>IF(A13="","",SUMIF('LÍNEAS-DE-PEDIDO'!$B$11:$B$210,A13,'LÍNEAS-DE-PEDIDO'!$N$11:$N$210))</x:f>
        <x:v>1870</x:v>
      </x:c>
      <x:c r="Q13" s="59" t="n">
        <x:f>IF(A13="","",IF(H13="Cancelada",0,MAX(M13-P13,0)))</x:f>
        <x:v>0</x:v>
      </x:c>
      <x:c r="R13" s="60" t="n">
        <x:f>IF(A13="","",IF(M13=0,0,MIN(P13/M13,1)))</x:f>
        <x:v>1</x:v>
      </x:c>
      <x:c r="S13" s="46" t="str">
        <x:f>IF(A13="","",IF(H13="Cancelada","Cancelada",IF(L13=0,"Sin líneas",IF(Q13=0,"Completa",IF(F13&lt;'CONFIGURACIÓN'!$B$7,"Vencida",IF(F13&lt;='CONFIGURACIÓN'!$B$7+'CONFIGURACIÓN'!$B$9,"Próxima a vencer","Abierta"))))))</x:f>
        <x:v>Completa</x:v>
      </x:c>
    </x:row>
    <x:row r="14">
      <x:c r="A14" s="44" t="str">
        <x:v>PO-004</x:v>
      </x:c>
      <x:c r="B14" s="51" t="n">
        <x:v>46117</x:v>
      </x:c>
      <x:c r="C14" s="44" t="str">
        <x:v>Mayorista LimpioPro</x:v>
      </x:c>
      <x:c r="D14" s="44" t="str">
        <x:v>James Cole</x:v>
      </x:c>
      <x:c r="E14" s="44" t="str">
        <x:v>Instalaciones</x:v>
      </x:c>
      <x:c r="F14" s="51" t="n">
        <x:v>46130</x:v>
      </x:c>
      <x:c r="G14" s="44" t="str">
        <x:v>30 días</x:v>
      </x:c>
      <x:c r="H14" s="44" t="str">
        <x:v>Emitida</x:v>
      </x:c>
      <x:c r="I14" s="58" t="n">
        <x:v>0.05</x:v>
      </x:c>
      <x:c r="J14" s="53" t="n">
        <x:v>35</x:v>
      </x:c>
      <x:c r="K14" s="44" t="str">
        <x:v>Pedido de limpieza de instalaciones</x:v>
      </x:c>
      <x:c r="L14" s="46" t="n">
        <x:f>IF(A14="","",COUNTIF('LÍNEAS-DE-PEDIDO'!$B$11:$B$210,A14))</x:f>
        <x:v>3</x:v>
      </x:c>
      <x:c r="M14" s="59" t="n">
        <x:f>IF(A14="","",SUMIF('LÍNEAS-DE-PEDIDO'!$B$11:$B$210,A14,'LÍNEAS-DE-PEDIDO'!$M$11:$M$210))</x:f>
        <x:v>940</x:v>
      </x:c>
      <x:c r="N14" s="59" t="n">
        <x:f>IF(A14="","",M14*I14)</x:f>
        <x:v>47</x:v>
      </x:c>
      <x:c r="O14" s="59" t="n">
        <x:f>IF(A14="","",M14+N14+J14)</x:f>
        <x:v>1022</x:v>
      </x:c>
      <x:c r="P14" s="59" t="n">
        <x:f>IF(A14="","",SUMIF('LÍNEAS-DE-PEDIDO'!$B$11:$B$210,A14,'LÍNEAS-DE-PEDIDO'!$N$11:$N$210))</x:f>
        <x:v>660</x:v>
      </x:c>
      <x:c r="Q14" s="59" t="n">
        <x:f>IF(A14="","",IF(H14="Cancelada",0,MAX(M14-P14,0)))</x:f>
        <x:v>280</x:v>
      </x:c>
      <x:c r="R14" s="60" t="n">
        <x:f>IF(A14="","",IF(M14=0,0,MIN(P14/M14,1)))</x:f>
        <x:v>0.7021276595744681</x:v>
      </x:c>
      <x:c r="S14" s="46" t="str">
        <x:f>IF(A14="","",IF(H14="Cancelada","Cancelada",IF(L14=0,"Sin líneas",IF(Q14=0,"Completa",IF(F14&lt;'CONFIGURACIÓN'!$B$7,"Vencida",IF(F14&lt;='CONFIGURACIÓN'!$B$7+'CONFIGURACIÓN'!$B$9,"Próxima a vencer","Abierta"))))))</x:f>
        <x:v>Vencida</x:v>
      </x:c>
    </x:row>
    <x:row r="15">
      <x:c r="A15" s="44" t="str">
        <x:v>PO-005</x:v>
      </x:c>
      <x:c r="B15" s="51" t="n">
        <x:v>46157</x:v>
      </x:c>
      <x:c r="C15" s="44" t="str">
        <x:v>Alimentos del Desierto</x:v>
      </x:c>
      <x:c r="D15" s="44" t="str">
        <x:v>Maya Chen</x:v>
      </x:c>
      <x:c r="E15" s="44" t="str">
        <x:v>Administración</x:v>
      </x:c>
      <x:c r="F15" s="51" t="n">
        <x:v>46167</x:v>
      </x:c>
      <x:c r="G15" s="44" t="str">
        <x:v>Pago contra entrega</x:v>
      </x:c>
      <x:c r="H15" s="44" t="str">
        <x:v>Cancelada</x:v>
      </x:c>
      <x:c r="I15" s="58" t="n">
        <x:v>0.05</x:v>
      </x:c>
      <x:c r="J15" s="53" t="n">
        <x:v>20</x:v>
      </x:c>
      <x:c r="K15" s="44" t="str">
        <x:v>Cancelada tras revisión presupuestaria</x:v>
      </x:c>
      <x:c r="L15" s="46" t="n">
        <x:f>IF(A15="","",COUNTIF('LÍNEAS-DE-PEDIDO'!$B$11:$B$210,A15))</x:f>
        <x:v>1</x:v>
      </x:c>
      <x:c r="M15" s="59" t="n">
        <x:f>IF(A15="","",SUMIF('LÍNEAS-DE-PEDIDO'!$B$11:$B$210,A15,'LÍNEAS-DE-PEDIDO'!$M$11:$M$210))</x:f>
        <x:v>1650</x:v>
      </x:c>
      <x:c r="N15" s="59" t="n">
        <x:f>IF(A15="","",M15*I15)</x:f>
        <x:v>82.5</x:v>
      </x:c>
      <x:c r="O15" s="59" t="n">
        <x:f>IF(A15="","",M15+N15+J15)</x:f>
        <x:v>1752.5</x:v>
      </x:c>
      <x:c r="P15" s="59" t="n">
        <x:f>IF(A15="","",SUMIF('LÍNEAS-DE-PEDIDO'!$B$11:$B$210,A15,'LÍNEAS-DE-PEDIDO'!$N$11:$N$210))</x:f>
        <x:v>0</x:v>
      </x:c>
      <x:c r="Q15" s="59" t="n">
        <x:f>IF(A15="","",IF(H15="Cancelada",0,MAX(M15-P15,0)))</x:f>
        <x:v>0</x:v>
      </x:c>
      <x:c r="R15" s="60" t="n">
        <x:f>IF(A15="","",IF(M15=0,0,MIN(P15/M15,1)))</x:f>
        <x:v>0</x:v>
      </x:c>
      <x:c r="S15" s="46" t="str">
        <x:f>IF(A15="","",IF(H15="Cancelada","Cancelada",IF(L15=0,"Sin líneas",IF(Q15=0,"Completa",IF(F15&lt;'CONFIGURACIÓN'!$B$7,"Vencida",IF(F15&lt;='CONFIGURACIÓN'!$B$7+'CONFIGURACIÓN'!$B$9,"Próxima a vencer","Abierta"))))))</x:f>
        <x:v>Cancelada</x:v>
      </x:c>
    </x:row>
    <x:row r="16">
      <x:c r="A16" s="44" t="str">
        <x:v>PO-006</x:v>
      </x:c>
      <x:c r="B16" s="51" t="n">
        <x:v>46175</x:v>
      </x:c>
      <x:c r="C16" s="44" t="str">
        <x:v>Equipos Trabajo Seguro</x:v>
      </x:c>
      <x:c r="D16" s="44" t="str">
        <x:v>Omar Hassan</x:v>
      </x:c>
      <x:c r="E16" s="44" t="str">
        <x:v>Operaciones</x:v>
      </x:c>
      <x:c r="F16" s="51" t="n">
        <x:v>46193</x:v>
      </x:c>
      <x:c r="G16" s="44" t="str">
        <x:v>45 días</x:v>
      </x:c>
      <x:c r="H16" s="44" t="str">
        <x:v>Aprobada</x:v>
      </x:c>
      <x:c r="I16" s="58" t="n">
        <x:v>0.05</x:v>
      </x:c>
      <x:c r="J16" s="53" t="n">
        <x:v>50</x:v>
      </x:c>
      <x:c r="K16" s="44" t="str">
        <x:v>Aprobación de equipos de seguridad</x:v>
      </x:c>
      <x:c r="L16" s="46" t="n">
        <x:f>IF(A16="","",COUNTIF('LÍNEAS-DE-PEDIDO'!$B$11:$B$210,A16))</x:f>
        <x:v>2</x:v>
      </x:c>
      <x:c r="M16" s="59" t="n">
        <x:f>IF(A16="","",SUMIF('LÍNEAS-DE-PEDIDO'!$B$11:$B$210,A16,'LÍNEAS-DE-PEDIDO'!$M$11:$M$210))</x:f>
        <x:v>1590</x:v>
      </x:c>
      <x:c r="N16" s="59" t="n">
        <x:f>IF(A16="","",M16*I16)</x:f>
        <x:v>79.5</x:v>
      </x:c>
      <x:c r="O16" s="59" t="n">
        <x:f>IF(A16="","",M16+N16+J16)</x:f>
        <x:v>1719.5</x:v>
      </x:c>
      <x:c r="P16" s="59" t="n">
        <x:f>IF(A16="","",SUMIF('LÍNEAS-DE-PEDIDO'!$B$11:$B$210,A16,'LÍNEAS-DE-PEDIDO'!$N$11:$N$210))</x:f>
        <x:v>0</x:v>
      </x:c>
      <x:c r="Q16" s="59" t="n">
        <x:f>IF(A16="","",IF(H16="Cancelada",0,MAX(M16-P16,0)))</x:f>
        <x:v>1590</x:v>
      </x:c>
      <x:c r="R16" s="60" t="n">
        <x:f>IF(A16="","",IF(M16=0,0,MIN(P16/M16,1)))</x:f>
        <x:v>0</x:v>
      </x:c>
      <x:c r="S16" s="46" t="str">
        <x:f>IF(A16="","",IF(H16="Cancelada","Cancelada",IF(L16=0,"Sin líneas",IF(Q16=0,"Completa",IF(F16&lt;'CONFIGURACIÓN'!$B$7,"Vencida",IF(F16&lt;='CONFIGURACIÓN'!$B$7+'CONFIGURACIÓN'!$B$9,"Próxima a vencer","Abierta"))))))</x:f>
        <x:v>Vencida</x:v>
      </x:c>
    </x:row>
    <x:row r="17">
      <x:c r="A17" s="44" t="str">
        <x:v>PO-007</x:v>
      </x:c>
      <x:c r="B17" s="51" t="n">
        <x:v>46211</x:v>
      </x:c>
      <x:c r="C17" s="44" t="str">
        <x:v>Suministros Oficina Metro</x:v>
      </x:c>
      <x:c r="D17" s="44" t="str">
        <x:v>Lina Park</x:v>
      </x:c>
      <x:c r="E17" s="44" t="str">
        <x:v>Administración</x:v>
      </x:c>
      <x:c r="F17" s="51" t="n">
        <x:v>46221</x:v>
      </x:c>
      <x:c r="G17" s="44" t="str">
        <x:v>30 días</x:v>
      </x:c>
      <x:c r="H17" s="44" t="str">
        <x:v>Emitida</x:v>
      </x:c>
      <x:c r="I17" s="58" t="n">
        <x:v>0.05</x:v>
      </x:c>
      <x:c r="J17" s="53" t="n">
        <x:v>25</x:v>
      </x:c>
      <x:c r="K17" s="44" t="str">
        <x:v>Reposición de oficina</x:v>
      </x:c>
      <x:c r="L17" s="46" t="n">
        <x:f>IF(A17="","",COUNTIF('LÍNEAS-DE-PEDIDO'!$B$11:$B$210,A17))</x:f>
        <x:v>2</x:v>
      </x:c>
      <x:c r="M17" s="59" t="n">
        <x:f>IF(A17="","",SUMIF('LÍNEAS-DE-PEDIDO'!$B$11:$B$210,A17,'LÍNEAS-DE-PEDIDO'!$M$11:$M$210))</x:f>
        <x:v>1280</x:v>
      </x:c>
      <x:c r="N17" s="59" t="n">
        <x:f>IF(A17="","",M17*I17)</x:f>
        <x:v>64</x:v>
      </x:c>
      <x:c r="O17" s="59" t="n">
        <x:f>IF(A17="","",M17+N17+J17)</x:f>
        <x:v>1369</x:v>
      </x:c>
      <x:c r="P17" s="59" t="n">
        <x:f>IF(A17="","",SUMIF('LÍNEAS-DE-PEDIDO'!$B$11:$B$210,A17,'LÍNEAS-DE-PEDIDO'!$N$11:$N$210))</x:f>
        <x:v>920</x:v>
      </x:c>
      <x:c r="Q17" s="59" t="n">
        <x:f>IF(A17="","",IF(H17="Cancelada",0,MAX(M17-P17,0)))</x:f>
        <x:v>360</x:v>
      </x:c>
      <x:c r="R17" s="60" t="n">
        <x:f>IF(A17="","",IF(M17=0,0,MIN(P17/M17,1)))</x:f>
        <x:v>0.71875</x:v>
      </x:c>
      <x:c r="S17" s="46" t="str">
        <x:f>IF(A17="","",IF(H17="Cancelada","Cancelada",IF(L17=0,"Sin líneas",IF(Q17=0,"Completa",IF(F17&lt;'CONFIGURACIÓN'!$B$7,"Vencida",IF(F17&lt;='CONFIGURACIÓN'!$B$7+'CONFIGURACIÓN'!$B$9,"Próxima a vencer","Abierta"))))))</x:f>
        <x:v>Vencida</x:v>
      </x:c>
    </x:row>
    <x:row r="18">
      <x:c r="A18" s="44" t="str">
        <x:v>PO-008</x:v>
      </x:c>
      <x:c r="B18" s="51" t="n">
        <x:v>46235</x:v>
      </x:c>
      <x:c r="C18" s="44" t="str">
        <x:v>Embalajes del Golfo</x:v>
      </x:c>
      <x:c r="D18" s="44" t="str">
        <x:v>James Cole</x:v>
      </x:c>
      <x:c r="E18" s="44" t="str">
        <x:v>Operaciones</x:v>
      </x:c>
      <x:c r="F18" s="51" t="n">
        <x:v>46254</x:v>
      </x:c>
      <x:c r="G18" s="44" t="str">
        <x:v>30 días</x:v>
      </x:c>
      <x:c r="H18" s="44" t="str">
        <x:v>Aprobada</x:v>
      </x:c>
      <x:c r="I18" s="58" t="n">
        <x:v>0.05</x:v>
      </x:c>
      <x:c r="J18" s="53" t="n">
        <x:v>45</x:v>
      </x:c>
      <x:c r="K18" s="44" t="str">
        <x:v>Pedido de embalaje pendiente de entrega</x:v>
      </x:c>
      <x:c r="L18" s="46" t="n">
        <x:f>IF(A18="","",COUNTIF('LÍNEAS-DE-PEDIDO'!$B$11:$B$210,A18))</x:f>
        <x:v>2</x:v>
      </x:c>
      <x:c r="M18" s="59" t="n">
        <x:f>IF(A18="","",SUMIF('LÍNEAS-DE-PEDIDO'!$B$11:$B$210,A18,'LÍNEAS-DE-PEDIDO'!$M$11:$M$210))</x:f>
        <x:v>1200</x:v>
      </x:c>
      <x:c r="N18" s="59" t="n">
        <x:f>IF(A18="","",M18*I18)</x:f>
        <x:v>60</x:v>
      </x:c>
      <x:c r="O18" s="59" t="n">
        <x:f>IF(A18="","",M18+N18+J18)</x:f>
        <x:v>1305</x:v>
      </x:c>
      <x:c r="P18" s="59" t="n">
        <x:f>IF(A18="","",SUMIF('LÍNEAS-DE-PEDIDO'!$B$11:$B$210,A18,'LÍNEAS-DE-PEDIDO'!$N$11:$N$210))</x:f>
        <x:v>0</x:v>
      </x:c>
      <x:c r="Q18" s="59" t="n">
        <x:f>IF(A18="","",IF(H18="Cancelada",0,MAX(M18-P18,0)))</x:f>
        <x:v>1200</x:v>
      </x:c>
      <x:c r="R18" s="60" t="n">
        <x:f>IF(A18="","",IF(M18=0,0,MIN(P18/M18,1)))</x:f>
        <x:v>0</x:v>
      </x:c>
      <x:c r="S18" s="46" t="str">
        <x:f>IF(A18="","",IF(H18="Cancelada","Cancelada",IF(L18=0,"Sin líneas",IF(Q18=0,"Completa",IF(F18&lt;'CONFIGURACIÓN'!$B$7,"Vencida",IF(F18&lt;='CONFIGURACIÓN'!$B$7+'CONFIGURACIÓN'!$B$9,"Próxima a vencer","Abierta"))))))</x:f>
        <x:v>Abierta</x:v>
      </x:c>
    </x:row>
    <x:row r="19">
      <x:c r="A19" s="44"/>
      <x:c r="B19" s="51"/>
      <x:c r="C19" s="44"/>
      <x:c r="D19" s="44"/>
      <x:c r="E19" s="44"/>
      <x:c r="F19" s="51"/>
      <x:c r="G19" s="44"/>
      <x:c r="H19" s="44"/>
      <x:c r="I19" s="58"/>
      <x:c r="J19" s="53"/>
      <x:c r="K19" s="44"/>
      <x:c r="L19" s="46" t="str">
        <x:f>IF(A19="","",COUNTIF('LÍNEAS-DE-PEDIDO'!$B$11:$B$210,A19))</x:f>
      </x:c>
      <x:c r="M19" s="59" t="str">
        <x:f>IF(A19="","",SUMIF('LÍNEAS-DE-PEDIDO'!$B$11:$B$210,A19,'LÍNEAS-DE-PEDIDO'!$M$11:$M$210))</x:f>
      </x:c>
      <x:c r="N19" s="59" t="str">
        <x:f>IF(A19="","",M19*I19)</x:f>
      </x:c>
      <x:c r="O19" s="59" t="str">
        <x:f>IF(A19="","",M19+N19+J19)</x:f>
      </x:c>
      <x:c r="P19" s="59" t="str">
        <x:f>IF(A19="","",SUMIF('LÍNEAS-DE-PEDIDO'!$B$11:$B$210,A19,'LÍNEAS-DE-PEDIDO'!$N$11:$N$210))</x:f>
      </x:c>
      <x:c r="Q19" s="59" t="str">
        <x:f>IF(A19="","",IF(H19="Cancelada",0,MAX(M19-P19,0)))</x:f>
      </x:c>
      <x:c r="R19" s="60" t="str">
        <x:f>IF(A19="","",IF(M19=0,0,MIN(P19/M19,1)))</x:f>
      </x:c>
      <x:c r="S19" s="46" t="str">
        <x:f>IF(A19="","",IF(H19="Cancelada","Cancelada",IF(L19=0,"Sin líneas",IF(Q19=0,"Completa",IF(F19&lt;'CONFIGURACIÓN'!$B$7,"Vencida",IF(F19&lt;='CONFIGURACIÓN'!$B$7+'CONFIGURACIÓN'!$B$9,"Próxima a vencer","Abierta"))))))</x:f>
      </x:c>
    </x:row>
    <x:row r="20">
      <x:c r="A20" s="44"/>
      <x:c r="B20" s="51"/>
      <x:c r="C20" s="44"/>
      <x:c r="D20" s="44"/>
      <x:c r="E20" s="44"/>
      <x:c r="F20" s="51"/>
      <x:c r="G20" s="44"/>
      <x:c r="H20" s="44"/>
      <x:c r="I20" s="58"/>
      <x:c r="J20" s="53"/>
      <x:c r="K20" s="44"/>
      <x:c r="L20" s="46" t="str">
        <x:f>IF(A20="","",COUNTIF('LÍNEAS-DE-PEDIDO'!$B$11:$B$210,A20))</x:f>
      </x:c>
      <x:c r="M20" s="59" t="str">
        <x:f>IF(A20="","",SUMIF('LÍNEAS-DE-PEDIDO'!$B$11:$B$210,A20,'LÍNEAS-DE-PEDIDO'!$M$11:$M$210))</x:f>
      </x:c>
      <x:c r="N20" s="59" t="str">
        <x:f>IF(A20="","",M20*I20)</x:f>
      </x:c>
      <x:c r="O20" s="59" t="str">
        <x:f>IF(A20="","",M20+N20+J20)</x:f>
      </x:c>
      <x:c r="P20" s="59" t="str">
        <x:f>IF(A20="","",SUMIF('LÍNEAS-DE-PEDIDO'!$B$11:$B$210,A20,'LÍNEAS-DE-PEDIDO'!$N$11:$N$210))</x:f>
      </x:c>
      <x:c r="Q20" s="59" t="str">
        <x:f>IF(A20="","",IF(H20="Cancelada",0,MAX(M20-P20,0)))</x:f>
      </x:c>
      <x:c r="R20" s="60" t="str">
        <x:f>IF(A20="","",IF(M20=0,0,MIN(P20/M20,1)))</x:f>
      </x:c>
      <x:c r="S20" s="46" t="str">
        <x:f>IF(A20="","",IF(H20="Cancelada","Cancelada",IF(L20=0,"Sin líneas",IF(Q20=0,"Completa",IF(F20&lt;'CONFIGURACIÓN'!$B$7,"Vencida",IF(F20&lt;='CONFIGURACIÓN'!$B$7+'CONFIGURACIÓN'!$B$9,"Próxima a vencer","Abierta"))))))</x:f>
      </x:c>
    </x:row>
    <x:row r="21">
      <x:c r="A21" s="44"/>
      <x:c r="B21" s="51"/>
      <x:c r="C21" s="44"/>
      <x:c r="D21" s="44"/>
      <x:c r="E21" s="44"/>
      <x:c r="F21" s="51"/>
      <x:c r="G21" s="44"/>
      <x:c r="H21" s="44"/>
      <x:c r="I21" s="58"/>
      <x:c r="J21" s="53"/>
      <x:c r="K21" s="44"/>
      <x:c r="L21" s="46" t="str">
        <x:f>IF(A21="","",COUNTIF('LÍNEAS-DE-PEDIDO'!$B$11:$B$210,A21))</x:f>
      </x:c>
      <x:c r="M21" s="59" t="str">
        <x:f>IF(A21="","",SUMIF('LÍNEAS-DE-PEDIDO'!$B$11:$B$210,A21,'LÍNEAS-DE-PEDIDO'!$M$11:$M$210))</x:f>
      </x:c>
      <x:c r="N21" s="59" t="str">
        <x:f>IF(A21="","",M21*I21)</x:f>
      </x:c>
      <x:c r="O21" s="59" t="str">
        <x:f>IF(A21="","",M21+N21+J21)</x:f>
      </x:c>
      <x:c r="P21" s="59" t="str">
        <x:f>IF(A21="","",SUMIF('LÍNEAS-DE-PEDIDO'!$B$11:$B$210,A21,'LÍNEAS-DE-PEDIDO'!$N$11:$N$210))</x:f>
      </x:c>
      <x:c r="Q21" s="59" t="str">
        <x:f>IF(A21="","",IF(H21="Cancelada",0,MAX(M21-P21,0)))</x:f>
      </x:c>
      <x:c r="R21" s="60" t="str">
        <x:f>IF(A21="","",IF(M21=0,0,MIN(P21/M21,1)))</x:f>
      </x:c>
      <x:c r="S21" s="46" t="str">
        <x:f>IF(A21="","",IF(H21="Cancelada","Cancelada",IF(L21=0,"Sin líneas",IF(Q21=0,"Completa",IF(F21&lt;'CONFIGURACIÓN'!$B$7,"Vencida",IF(F21&lt;='CONFIGURACIÓN'!$B$7+'CONFIGURACIÓN'!$B$9,"Próxima a vencer","Abierta"))))))</x:f>
      </x:c>
    </x:row>
    <x:row r="22">
      <x:c r="A22" s="44"/>
      <x:c r="B22" s="51"/>
      <x:c r="C22" s="44"/>
      <x:c r="D22" s="44"/>
      <x:c r="E22" s="44"/>
      <x:c r="F22" s="51"/>
      <x:c r="G22" s="44"/>
      <x:c r="H22" s="44"/>
      <x:c r="I22" s="58"/>
      <x:c r="J22" s="53"/>
      <x:c r="K22" s="44"/>
      <x:c r="L22" s="46" t="str">
        <x:f>IF(A22="","",COUNTIF('LÍNEAS-DE-PEDIDO'!$B$11:$B$210,A22))</x:f>
      </x:c>
      <x:c r="M22" s="59" t="str">
        <x:f>IF(A22="","",SUMIF('LÍNEAS-DE-PEDIDO'!$B$11:$B$210,A22,'LÍNEAS-DE-PEDIDO'!$M$11:$M$210))</x:f>
      </x:c>
      <x:c r="N22" s="59" t="str">
        <x:f>IF(A22="","",M22*I22)</x:f>
      </x:c>
      <x:c r="O22" s="59" t="str">
        <x:f>IF(A22="","",M22+N22+J22)</x:f>
      </x:c>
      <x:c r="P22" s="59" t="str">
        <x:f>IF(A22="","",SUMIF('LÍNEAS-DE-PEDIDO'!$B$11:$B$210,A22,'LÍNEAS-DE-PEDIDO'!$N$11:$N$210))</x:f>
      </x:c>
      <x:c r="Q22" s="59" t="str">
        <x:f>IF(A22="","",IF(H22="Cancelada",0,MAX(M22-P22,0)))</x:f>
      </x:c>
      <x:c r="R22" s="60" t="str">
        <x:f>IF(A22="","",IF(M22=0,0,MIN(P22/M22,1)))</x:f>
      </x:c>
      <x:c r="S22" s="46" t="str">
        <x:f>IF(A22="","",IF(H22="Cancelada","Cancelada",IF(L22=0,"Sin líneas",IF(Q22=0,"Completa",IF(F22&lt;'CONFIGURACIÓN'!$B$7,"Vencida",IF(F22&lt;='CONFIGURACIÓN'!$B$7+'CONFIGURACIÓN'!$B$9,"Próxima a vencer","Abierta"))))))</x:f>
      </x:c>
    </x:row>
    <x:row r="23">
      <x:c r="A23" s="44"/>
      <x:c r="B23" s="51"/>
      <x:c r="C23" s="44"/>
      <x:c r="D23" s="44"/>
      <x:c r="E23" s="44"/>
      <x:c r="F23" s="51"/>
      <x:c r="G23" s="44"/>
      <x:c r="H23" s="44"/>
      <x:c r="I23" s="58"/>
      <x:c r="J23" s="53"/>
      <x:c r="K23" s="44"/>
      <x:c r="L23" s="46" t="str">
        <x:f>IF(A23="","",COUNTIF('LÍNEAS-DE-PEDIDO'!$B$11:$B$210,A23))</x:f>
      </x:c>
      <x:c r="M23" s="59" t="str">
        <x:f>IF(A23="","",SUMIF('LÍNEAS-DE-PEDIDO'!$B$11:$B$210,A23,'LÍNEAS-DE-PEDIDO'!$M$11:$M$210))</x:f>
      </x:c>
      <x:c r="N23" s="59" t="str">
        <x:f>IF(A23="","",M23*I23)</x:f>
      </x:c>
      <x:c r="O23" s="59" t="str">
        <x:f>IF(A23="","",M23+N23+J23)</x:f>
      </x:c>
      <x:c r="P23" s="59" t="str">
        <x:f>IF(A23="","",SUMIF('LÍNEAS-DE-PEDIDO'!$B$11:$B$210,A23,'LÍNEAS-DE-PEDIDO'!$N$11:$N$210))</x:f>
      </x:c>
      <x:c r="Q23" s="59" t="str">
        <x:f>IF(A23="","",IF(H23="Cancelada",0,MAX(M23-P23,0)))</x:f>
      </x:c>
      <x:c r="R23" s="60" t="str">
        <x:f>IF(A23="","",IF(M23=0,0,MIN(P23/M23,1)))</x:f>
      </x:c>
      <x:c r="S23" s="46" t="str">
        <x:f>IF(A23="","",IF(H23="Cancelada","Cancelada",IF(L23=0,"Sin líneas",IF(Q23=0,"Completa",IF(F23&lt;'CONFIGURACIÓN'!$B$7,"Vencida",IF(F23&lt;='CONFIGURACIÓN'!$B$7+'CONFIGURACIÓN'!$B$9,"Próxima a vencer","Abierta"))))))</x:f>
      </x:c>
    </x:row>
    <x:row r="24">
      <x:c r="A24" s="44"/>
      <x:c r="B24" s="51"/>
      <x:c r="C24" s="44"/>
      <x:c r="D24" s="44"/>
      <x:c r="E24" s="44"/>
      <x:c r="F24" s="51"/>
      <x:c r="G24" s="44"/>
      <x:c r="H24" s="44"/>
      <x:c r="I24" s="58"/>
      <x:c r="J24" s="53"/>
      <x:c r="K24" s="44"/>
      <x:c r="L24" s="46" t="str">
        <x:f>IF(A24="","",COUNTIF('LÍNEAS-DE-PEDIDO'!$B$11:$B$210,A24))</x:f>
      </x:c>
      <x:c r="M24" s="59" t="str">
        <x:f>IF(A24="","",SUMIF('LÍNEAS-DE-PEDIDO'!$B$11:$B$210,A24,'LÍNEAS-DE-PEDIDO'!$M$11:$M$210))</x:f>
      </x:c>
      <x:c r="N24" s="59" t="str">
        <x:f>IF(A24="","",M24*I24)</x:f>
      </x:c>
      <x:c r="O24" s="59" t="str">
        <x:f>IF(A24="","",M24+N24+J24)</x:f>
      </x:c>
      <x:c r="P24" s="59" t="str">
        <x:f>IF(A24="","",SUMIF('LÍNEAS-DE-PEDIDO'!$B$11:$B$210,A24,'LÍNEAS-DE-PEDIDO'!$N$11:$N$210))</x:f>
      </x:c>
      <x:c r="Q24" s="59" t="str">
        <x:f>IF(A24="","",IF(H24="Cancelada",0,MAX(M24-P24,0)))</x:f>
      </x:c>
      <x:c r="R24" s="60" t="str">
        <x:f>IF(A24="","",IF(M24=0,0,MIN(P24/M24,1)))</x:f>
      </x:c>
      <x:c r="S24" s="46" t="str">
        <x:f>IF(A24="","",IF(H24="Cancelada","Cancelada",IF(L24=0,"Sin líneas",IF(Q24=0,"Completa",IF(F24&lt;'CONFIGURACIÓN'!$B$7,"Vencida",IF(F24&lt;='CONFIGURACIÓN'!$B$7+'CONFIGURACIÓN'!$B$9,"Próxima a vencer","Abierta"))))))</x:f>
      </x:c>
    </x:row>
    <x:row r="25">
      <x:c r="A25" s="44"/>
      <x:c r="B25" s="51"/>
      <x:c r="C25" s="44"/>
      <x:c r="D25" s="44"/>
      <x:c r="E25" s="44"/>
      <x:c r="F25" s="51"/>
      <x:c r="G25" s="44"/>
      <x:c r="H25" s="44"/>
      <x:c r="I25" s="58"/>
      <x:c r="J25" s="53"/>
      <x:c r="K25" s="44"/>
      <x:c r="L25" s="46" t="str">
        <x:f>IF(A25="","",COUNTIF('LÍNEAS-DE-PEDIDO'!$B$11:$B$210,A25))</x:f>
      </x:c>
      <x:c r="M25" s="59" t="str">
        <x:f>IF(A25="","",SUMIF('LÍNEAS-DE-PEDIDO'!$B$11:$B$210,A25,'LÍNEAS-DE-PEDIDO'!$M$11:$M$210))</x:f>
      </x:c>
      <x:c r="N25" s="59" t="str">
        <x:f>IF(A25="","",M25*I25)</x:f>
      </x:c>
      <x:c r="O25" s="59" t="str">
        <x:f>IF(A25="","",M25+N25+J25)</x:f>
      </x:c>
      <x:c r="P25" s="59" t="str">
        <x:f>IF(A25="","",SUMIF('LÍNEAS-DE-PEDIDO'!$B$11:$B$210,A25,'LÍNEAS-DE-PEDIDO'!$N$11:$N$210))</x:f>
      </x:c>
      <x:c r="Q25" s="59" t="str">
        <x:f>IF(A25="","",IF(H25="Cancelada",0,MAX(M25-P25,0)))</x:f>
      </x:c>
      <x:c r="R25" s="60" t="str">
        <x:f>IF(A25="","",IF(M25=0,0,MIN(P25/M25,1)))</x:f>
      </x:c>
      <x:c r="S25" s="46" t="str">
        <x:f>IF(A25="","",IF(H25="Cancelada","Cancelada",IF(L25=0,"Sin líneas",IF(Q25=0,"Completa",IF(F25&lt;'CONFIGURACIÓN'!$B$7,"Vencida",IF(F25&lt;='CONFIGURACIÓN'!$B$7+'CONFIGURACIÓN'!$B$9,"Próxima a vencer","Abierta"))))))</x:f>
      </x:c>
    </x:row>
    <x:row r="26">
      <x:c r="A26" s="44"/>
      <x:c r="B26" s="51"/>
      <x:c r="C26" s="44"/>
      <x:c r="D26" s="44"/>
      <x:c r="E26" s="44"/>
      <x:c r="F26" s="51"/>
      <x:c r="G26" s="44"/>
      <x:c r="H26" s="44"/>
      <x:c r="I26" s="58"/>
      <x:c r="J26" s="53"/>
      <x:c r="K26" s="44"/>
      <x:c r="L26" s="46" t="str">
        <x:f>IF(A26="","",COUNTIF('LÍNEAS-DE-PEDIDO'!$B$11:$B$210,A26))</x:f>
      </x:c>
      <x:c r="M26" s="59" t="str">
        <x:f>IF(A26="","",SUMIF('LÍNEAS-DE-PEDIDO'!$B$11:$B$210,A26,'LÍNEAS-DE-PEDIDO'!$M$11:$M$210))</x:f>
      </x:c>
      <x:c r="N26" s="59" t="str">
        <x:f>IF(A26="","",M26*I26)</x:f>
      </x:c>
      <x:c r="O26" s="59" t="str">
        <x:f>IF(A26="","",M26+N26+J26)</x:f>
      </x:c>
      <x:c r="P26" s="59" t="str">
        <x:f>IF(A26="","",SUMIF('LÍNEAS-DE-PEDIDO'!$B$11:$B$210,A26,'LÍNEAS-DE-PEDIDO'!$N$11:$N$210))</x:f>
      </x:c>
      <x:c r="Q26" s="59" t="str">
        <x:f>IF(A26="","",IF(H26="Cancelada",0,MAX(M26-P26,0)))</x:f>
      </x:c>
      <x:c r="R26" s="60" t="str">
        <x:f>IF(A26="","",IF(M26=0,0,MIN(P26/M26,1)))</x:f>
      </x:c>
      <x:c r="S26" s="46" t="str">
        <x:f>IF(A26="","",IF(H26="Cancelada","Cancelada",IF(L26=0,"Sin líneas",IF(Q26=0,"Completa",IF(F26&lt;'CONFIGURACIÓN'!$B$7,"Vencida",IF(F26&lt;='CONFIGURACIÓN'!$B$7+'CONFIGURACIÓN'!$B$9,"Próxima a vencer","Abierta"))))))</x:f>
      </x:c>
    </x:row>
    <x:row r="27">
      <x:c r="A27" s="44"/>
      <x:c r="B27" s="51"/>
      <x:c r="C27" s="44"/>
      <x:c r="D27" s="44"/>
      <x:c r="E27" s="44"/>
      <x:c r="F27" s="51"/>
      <x:c r="G27" s="44"/>
      <x:c r="H27" s="44"/>
      <x:c r="I27" s="58"/>
      <x:c r="J27" s="53"/>
      <x:c r="K27" s="44"/>
      <x:c r="L27" s="46" t="str">
        <x:f>IF(A27="","",COUNTIF('LÍNEAS-DE-PEDIDO'!$B$11:$B$210,A27))</x:f>
      </x:c>
      <x:c r="M27" s="59" t="str">
        <x:f>IF(A27="","",SUMIF('LÍNEAS-DE-PEDIDO'!$B$11:$B$210,A27,'LÍNEAS-DE-PEDIDO'!$M$11:$M$210))</x:f>
      </x:c>
      <x:c r="N27" s="59" t="str">
        <x:f>IF(A27="","",M27*I27)</x:f>
      </x:c>
      <x:c r="O27" s="59" t="str">
        <x:f>IF(A27="","",M27+N27+J27)</x:f>
      </x:c>
      <x:c r="P27" s="59" t="str">
        <x:f>IF(A27="","",SUMIF('LÍNEAS-DE-PEDIDO'!$B$11:$B$210,A27,'LÍNEAS-DE-PEDIDO'!$N$11:$N$210))</x:f>
      </x:c>
      <x:c r="Q27" s="59" t="str">
        <x:f>IF(A27="","",IF(H27="Cancelada",0,MAX(M27-P27,0)))</x:f>
      </x:c>
      <x:c r="R27" s="60" t="str">
        <x:f>IF(A27="","",IF(M27=0,0,MIN(P27/M27,1)))</x:f>
      </x:c>
      <x:c r="S27" s="46" t="str">
        <x:f>IF(A27="","",IF(H27="Cancelada","Cancelada",IF(L27=0,"Sin líneas",IF(Q27=0,"Completa",IF(F27&lt;'CONFIGURACIÓN'!$B$7,"Vencida",IF(F27&lt;='CONFIGURACIÓN'!$B$7+'CONFIGURACIÓN'!$B$9,"Próxima a vencer","Abierta"))))))</x:f>
      </x:c>
    </x:row>
    <x:row r="28">
      <x:c r="A28" s="44"/>
      <x:c r="B28" s="51"/>
      <x:c r="C28" s="44"/>
      <x:c r="D28" s="44"/>
      <x:c r="E28" s="44"/>
      <x:c r="F28" s="51"/>
      <x:c r="G28" s="44"/>
      <x:c r="H28" s="44"/>
      <x:c r="I28" s="58"/>
      <x:c r="J28" s="53"/>
      <x:c r="K28" s="44"/>
      <x:c r="L28" s="46" t="str">
        <x:f>IF(A28="","",COUNTIF('LÍNEAS-DE-PEDIDO'!$B$11:$B$210,A28))</x:f>
      </x:c>
      <x:c r="M28" s="59" t="str">
        <x:f>IF(A28="","",SUMIF('LÍNEAS-DE-PEDIDO'!$B$11:$B$210,A28,'LÍNEAS-DE-PEDIDO'!$M$11:$M$210))</x:f>
      </x:c>
      <x:c r="N28" s="59" t="str">
        <x:f>IF(A28="","",M28*I28)</x:f>
      </x:c>
      <x:c r="O28" s="59" t="str">
        <x:f>IF(A28="","",M28+N28+J28)</x:f>
      </x:c>
      <x:c r="P28" s="59" t="str">
        <x:f>IF(A28="","",SUMIF('LÍNEAS-DE-PEDIDO'!$B$11:$B$210,A28,'LÍNEAS-DE-PEDIDO'!$N$11:$N$210))</x:f>
      </x:c>
      <x:c r="Q28" s="59" t="str">
        <x:f>IF(A28="","",IF(H28="Cancelada",0,MAX(M28-P28,0)))</x:f>
      </x:c>
      <x:c r="R28" s="60" t="str">
        <x:f>IF(A28="","",IF(M28=0,0,MIN(P28/M28,1)))</x:f>
      </x:c>
      <x:c r="S28" s="46" t="str">
        <x:f>IF(A28="","",IF(H28="Cancelada","Cancelada",IF(L28=0,"Sin líneas",IF(Q28=0,"Completa",IF(F28&lt;'CONFIGURACIÓN'!$B$7,"Vencida",IF(F28&lt;='CONFIGURACIÓN'!$B$7+'CONFIGURACIÓN'!$B$9,"Próxima a vencer","Abierta"))))))</x:f>
      </x:c>
    </x:row>
    <x:row r="29">
      <x:c r="A29" s="44"/>
      <x:c r="B29" s="51"/>
      <x:c r="C29" s="44"/>
      <x:c r="D29" s="44"/>
      <x:c r="E29" s="44"/>
      <x:c r="F29" s="51"/>
      <x:c r="G29" s="44"/>
      <x:c r="H29" s="44"/>
      <x:c r="I29" s="58"/>
      <x:c r="J29" s="53"/>
      <x:c r="K29" s="44"/>
      <x:c r="L29" s="46" t="str">
        <x:f>IF(A29="","",COUNTIF('LÍNEAS-DE-PEDIDO'!$B$11:$B$210,A29))</x:f>
      </x:c>
      <x:c r="M29" s="59" t="str">
        <x:f>IF(A29="","",SUMIF('LÍNEAS-DE-PEDIDO'!$B$11:$B$210,A29,'LÍNEAS-DE-PEDIDO'!$M$11:$M$210))</x:f>
      </x:c>
      <x:c r="N29" s="59" t="str">
        <x:f>IF(A29="","",M29*I29)</x:f>
      </x:c>
      <x:c r="O29" s="59" t="str">
        <x:f>IF(A29="","",M29+N29+J29)</x:f>
      </x:c>
      <x:c r="P29" s="59" t="str">
        <x:f>IF(A29="","",SUMIF('LÍNEAS-DE-PEDIDO'!$B$11:$B$210,A29,'LÍNEAS-DE-PEDIDO'!$N$11:$N$210))</x:f>
      </x:c>
      <x:c r="Q29" s="59" t="str">
        <x:f>IF(A29="","",IF(H29="Cancelada",0,MAX(M29-P29,0)))</x:f>
      </x:c>
      <x:c r="R29" s="60" t="str">
        <x:f>IF(A29="","",IF(M29=0,0,MIN(P29/M29,1)))</x:f>
      </x:c>
      <x:c r="S29" s="46" t="str">
        <x:f>IF(A29="","",IF(H29="Cancelada","Cancelada",IF(L29=0,"Sin líneas",IF(Q29=0,"Completa",IF(F29&lt;'CONFIGURACIÓN'!$B$7,"Vencida",IF(F29&lt;='CONFIGURACIÓN'!$B$7+'CONFIGURACIÓN'!$B$9,"Próxima a vencer","Abierta"))))))</x:f>
      </x:c>
    </x:row>
    <x:row r="30">
      <x:c r="A30" s="44"/>
      <x:c r="B30" s="51"/>
      <x:c r="C30" s="44"/>
      <x:c r="D30" s="44"/>
      <x:c r="E30" s="44"/>
      <x:c r="F30" s="51"/>
      <x:c r="G30" s="44"/>
      <x:c r="H30" s="44"/>
      <x:c r="I30" s="58"/>
      <x:c r="J30" s="53"/>
      <x:c r="K30" s="44"/>
      <x:c r="L30" s="46" t="str">
        <x:f>IF(A30="","",COUNTIF('LÍNEAS-DE-PEDIDO'!$B$11:$B$210,A30))</x:f>
      </x:c>
      <x:c r="M30" s="59" t="str">
        <x:f>IF(A30="","",SUMIF('LÍNEAS-DE-PEDIDO'!$B$11:$B$210,A30,'LÍNEAS-DE-PEDIDO'!$M$11:$M$210))</x:f>
      </x:c>
      <x:c r="N30" s="59" t="str">
        <x:f>IF(A30="","",M30*I30)</x:f>
      </x:c>
      <x:c r="O30" s="59" t="str">
        <x:f>IF(A30="","",M30+N30+J30)</x:f>
      </x:c>
      <x:c r="P30" s="59" t="str">
        <x:f>IF(A30="","",SUMIF('LÍNEAS-DE-PEDIDO'!$B$11:$B$210,A30,'LÍNEAS-DE-PEDIDO'!$N$11:$N$210))</x:f>
      </x:c>
      <x:c r="Q30" s="59" t="str">
        <x:f>IF(A30="","",IF(H30="Cancelada",0,MAX(M30-P30,0)))</x:f>
      </x:c>
      <x:c r="R30" s="60" t="str">
        <x:f>IF(A30="","",IF(M30=0,0,MIN(P30/M30,1)))</x:f>
      </x:c>
      <x:c r="S30" s="46" t="str">
        <x:f>IF(A30="","",IF(H30="Cancelada","Cancelada",IF(L30=0,"Sin líneas",IF(Q30=0,"Completa",IF(F30&lt;'CONFIGURACIÓN'!$B$7,"Vencida",IF(F30&lt;='CONFIGURACIÓN'!$B$7+'CONFIGURACIÓN'!$B$9,"Próxima a vencer","Abierta"))))))</x:f>
      </x:c>
    </x:row>
    <x:row r="31">
      <x:c r="A31" s="44"/>
      <x:c r="B31" s="51"/>
      <x:c r="C31" s="44"/>
      <x:c r="D31" s="44"/>
      <x:c r="E31" s="44"/>
      <x:c r="F31" s="51"/>
      <x:c r="G31" s="44"/>
      <x:c r="H31" s="44"/>
      <x:c r="I31" s="58"/>
      <x:c r="J31" s="53"/>
      <x:c r="K31" s="44"/>
      <x:c r="L31" s="46" t="str">
        <x:f>IF(A31="","",COUNTIF('LÍNEAS-DE-PEDIDO'!$B$11:$B$210,A31))</x:f>
      </x:c>
      <x:c r="M31" s="59" t="str">
        <x:f>IF(A31="","",SUMIF('LÍNEAS-DE-PEDIDO'!$B$11:$B$210,A31,'LÍNEAS-DE-PEDIDO'!$M$11:$M$210))</x:f>
      </x:c>
      <x:c r="N31" s="59" t="str">
        <x:f>IF(A31="","",M31*I31)</x:f>
      </x:c>
      <x:c r="O31" s="59" t="str">
        <x:f>IF(A31="","",M31+N31+J31)</x:f>
      </x:c>
      <x:c r="P31" s="59" t="str">
        <x:f>IF(A31="","",SUMIF('LÍNEAS-DE-PEDIDO'!$B$11:$B$210,A31,'LÍNEAS-DE-PEDIDO'!$N$11:$N$210))</x:f>
      </x:c>
      <x:c r="Q31" s="59" t="str">
        <x:f>IF(A31="","",IF(H31="Cancelada",0,MAX(M31-P31,0)))</x:f>
      </x:c>
      <x:c r="R31" s="60" t="str">
        <x:f>IF(A31="","",IF(M31=0,0,MIN(P31/M31,1)))</x:f>
      </x:c>
      <x:c r="S31" s="46" t="str">
        <x:f>IF(A31="","",IF(H31="Cancelada","Cancelada",IF(L31=0,"Sin líneas",IF(Q31=0,"Completa",IF(F31&lt;'CONFIGURACIÓN'!$B$7,"Vencida",IF(F31&lt;='CONFIGURACIÓN'!$B$7+'CONFIGURACIÓN'!$B$9,"Próxima a vencer","Abierta"))))))</x:f>
      </x:c>
    </x:row>
    <x:row r="32">
      <x:c r="A32" s="44"/>
      <x:c r="B32" s="51"/>
      <x:c r="C32" s="44"/>
      <x:c r="D32" s="44"/>
      <x:c r="E32" s="44"/>
      <x:c r="F32" s="51"/>
      <x:c r="G32" s="44"/>
      <x:c r="H32" s="44"/>
      <x:c r="I32" s="58"/>
      <x:c r="J32" s="53"/>
      <x:c r="K32" s="44"/>
      <x:c r="L32" s="46" t="str">
        <x:f>IF(A32="","",COUNTIF('LÍNEAS-DE-PEDIDO'!$B$11:$B$210,A32))</x:f>
      </x:c>
      <x:c r="M32" s="59" t="str">
        <x:f>IF(A32="","",SUMIF('LÍNEAS-DE-PEDIDO'!$B$11:$B$210,A32,'LÍNEAS-DE-PEDIDO'!$M$11:$M$210))</x:f>
      </x:c>
      <x:c r="N32" s="59" t="str">
        <x:f>IF(A32="","",M32*I32)</x:f>
      </x:c>
      <x:c r="O32" s="59" t="str">
        <x:f>IF(A32="","",M32+N32+J32)</x:f>
      </x:c>
      <x:c r="P32" s="59" t="str">
        <x:f>IF(A32="","",SUMIF('LÍNEAS-DE-PEDIDO'!$B$11:$B$210,A32,'LÍNEAS-DE-PEDIDO'!$N$11:$N$210))</x:f>
      </x:c>
      <x:c r="Q32" s="59" t="str">
        <x:f>IF(A32="","",IF(H32="Cancelada",0,MAX(M32-P32,0)))</x:f>
      </x:c>
      <x:c r="R32" s="60" t="str">
        <x:f>IF(A32="","",IF(M32=0,0,MIN(P32/M32,1)))</x:f>
      </x:c>
      <x:c r="S32" s="46" t="str">
        <x:f>IF(A32="","",IF(H32="Cancelada","Cancelada",IF(L32=0,"Sin líneas",IF(Q32=0,"Completa",IF(F32&lt;'CONFIGURACIÓN'!$B$7,"Vencida",IF(F32&lt;='CONFIGURACIÓN'!$B$7+'CONFIGURACIÓN'!$B$9,"Próxima a vencer","Abierta"))))))</x:f>
      </x:c>
    </x:row>
    <x:row r="33">
      <x:c r="A33" s="44"/>
      <x:c r="B33" s="51"/>
      <x:c r="C33" s="44"/>
      <x:c r="D33" s="44"/>
      <x:c r="E33" s="44"/>
      <x:c r="F33" s="51"/>
      <x:c r="G33" s="44"/>
      <x:c r="H33" s="44"/>
      <x:c r="I33" s="58"/>
      <x:c r="J33" s="53"/>
      <x:c r="K33" s="44"/>
      <x:c r="L33" s="46" t="str">
        <x:f>IF(A33="","",COUNTIF('LÍNEAS-DE-PEDIDO'!$B$11:$B$210,A33))</x:f>
      </x:c>
      <x:c r="M33" s="59" t="str">
        <x:f>IF(A33="","",SUMIF('LÍNEAS-DE-PEDIDO'!$B$11:$B$210,A33,'LÍNEAS-DE-PEDIDO'!$M$11:$M$210))</x:f>
      </x:c>
      <x:c r="N33" s="59" t="str">
        <x:f>IF(A33="","",M33*I33)</x:f>
      </x:c>
      <x:c r="O33" s="59" t="str">
        <x:f>IF(A33="","",M33+N33+J33)</x:f>
      </x:c>
      <x:c r="P33" s="59" t="str">
        <x:f>IF(A33="","",SUMIF('LÍNEAS-DE-PEDIDO'!$B$11:$B$210,A33,'LÍNEAS-DE-PEDIDO'!$N$11:$N$210))</x:f>
      </x:c>
      <x:c r="Q33" s="59" t="str">
        <x:f>IF(A33="","",IF(H33="Cancelada",0,MAX(M33-P33,0)))</x:f>
      </x:c>
      <x:c r="R33" s="60" t="str">
        <x:f>IF(A33="","",IF(M33=0,0,MIN(P33/M33,1)))</x:f>
      </x:c>
      <x:c r="S33" s="46" t="str">
        <x:f>IF(A33="","",IF(H33="Cancelada","Cancelada",IF(L33=0,"Sin líneas",IF(Q33=0,"Completa",IF(F33&lt;'CONFIGURACIÓN'!$B$7,"Vencida",IF(F33&lt;='CONFIGURACIÓN'!$B$7+'CONFIGURACIÓN'!$B$9,"Próxima a vencer","Abierta"))))))</x:f>
      </x:c>
    </x:row>
    <x:row r="34">
      <x:c r="A34" s="44"/>
      <x:c r="B34" s="51"/>
      <x:c r="C34" s="44"/>
      <x:c r="D34" s="44"/>
      <x:c r="E34" s="44"/>
      <x:c r="F34" s="51"/>
      <x:c r="G34" s="44"/>
      <x:c r="H34" s="44"/>
      <x:c r="I34" s="58"/>
      <x:c r="J34" s="53"/>
      <x:c r="K34" s="44"/>
      <x:c r="L34" s="46" t="str">
        <x:f>IF(A34="","",COUNTIF('LÍNEAS-DE-PEDIDO'!$B$11:$B$210,A34))</x:f>
      </x:c>
      <x:c r="M34" s="59" t="str">
        <x:f>IF(A34="","",SUMIF('LÍNEAS-DE-PEDIDO'!$B$11:$B$210,A34,'LÍNEAS-DE-PEDIDO'!$M$11:$M$210))</x:f>
      </x:c>
      <x:c r="N34" s="59" t="str">
        <x:f>IF(A34="","",M34*I34)</x:f>
      </x:c>
      <x:c r="O34" s="59" t="str">
        <x:f>IF(A34="","",M34+N34+J34)</x:f>
      </x:c>
      <x:c r="P34" s="59" t="str">
        <x:f>IF(A34="","",SUMIF('LÍNEAS-DE-PEDIDO'!$B$11:$B$210,A34,'LÍNEAS-DE-PEDIDO'!$N$11:$N$210))</x:f>
      </x:c>
      <x:c r="Q34" s="59" t="str">
        <x:f>IF(A34="","",IF(H34="Cancelada",0,MAX(M34-P34,0)))</x:f>
      </x:c>
      <x:c r="R34" s="60" t="str">
        <x:f>IF(A34="","",IF(M34=0,0,MIN(P34/M34,1)))</x:f>
      </x:c>
      <x:c r="S34" s="46" t="str">
        <x:f>IF(A34="","",IF(H34="Cancelada","Cancelada",IF(L34=0,"Sin líneas",IF(Q34=0,"Completa",IF(F34&lt;'CONFIGURACIÓN'!$B$7,"Vencida",IF(F34&lt;='CONFIGURACIÓN'!$B$7+'CONFIGURACIÓN'!$B$9,"Próxima a vencer","Abierta"))))))</x:f>
      </x:c>
    </x:row>
    <x:row r="35">
      <x:c r="A35" s="44"/>
      <x:c r="B35" s="51"/>
      <x:c r="C35" s="44"/>
      <x:c r="D35" s="44"/>
      <x:c r="E35" s="44"/>
      <x:c r="F35" s="51"/>
      <x:c r="G35" s="44"/>
      <x:c r="H35" s="44"/>
      <x:c r="I35" s="58"/>
      <x:c r="J35" s="53"/>
      <x:c r="K35" s="44"/>
      <x:c r="L35" s="46" t="str">
        <x:f>IF(A35="","",COUNTIF('LÍNEAS-DE-PEDIDO'!$B$11:$B$210,A35))</x:f>
      </x:c>
      <x:c r="M35" s="59" t="str">
        <x:f>IF(A35="","",SUMIF('LÍNEAS-DE-PEDIDO'!$B$11:$B$210,A35,'LÍNEAS-DE-PEDIDO'!$M$11:$M$210))</x:f>
      </x:c>
      <x:c r="N35" s="59" t="str">
        <x:f>IF(A35="","",M35*I35)</x:f>
      </x:c>
      <x:c r="O35" s="59" t="str">
        <x:f>IF(A35="","",M35+N35+J35)</x:f>
      </x:c>
      <x:c r="P35" s="59" t="str">
        <x:f>IF(A35="","",SUMIF('LÍNEAS-DE-PEDIDO'!$B$11:$B$210,A35,'LÍNEAS-DE-PEDIDO'!$N$11:$N$210))</x:f>
      </x:c>
      <x:c r="Q35" s="59" t="str">
        <x:f>IF(A35="","",IF(H35="Cancelada",0,MAX(M35-P35,0)))</x:f>
      </x:c>
      <x:c r="R35" s="60" t="str">
        <x:f>IF(A35="","",IF(M35=0,0,MIN(P35/M35,1)))</x:f>
      </x:c>
      <x:c r="S35" s="46" t="str">
        <x:f>IF(A35="","",IF(H35="Cancelada","Cancelada",IF(L35=0,"Sin líneas",IF(Q35=0,"Completa",IF(F35&lt;'CONFIGURACIÓN'!$B$7,"Vencida",IF(F35&lt;='CONFIGURACIÓN'!$B$7+'CONFIGURACIÓN'!$B$9,"Próxima a vencer","Abierta"))))))</x:f>
      </x:c>
    </x:row>
    <x:row r="36">
      <x:c r="A36" s="44"/>
      <x:c r="B36" s="51"/>
      <x:c r="C36" s="44"/>
      <x:c r="D36" s="44"/>
      <x:c r="E36" s="44"/>
      <x:c r="F36" s="51"/>
      <x:c r="G36" s="44"/>
      <x:c r="H36" s="44"/>
      <x:c r="I36" s="58"/>
      <x:c r="J36" s="53"/>
      <x:c r="K36" s="44"/>
      <x:c r="L36" s="46" t="str">
        <x:f>IF(A36="","",COUNTIF('LÍNEAS-DE-PEDIDO'!$B$11:$B$210,A36))</x:f>
      </x:c>
      <x:c r="M36" s="59" t="str">
        <x:f>IF(A36="","",SUMIF('LÍNEAS-DE-PEDIDO'!$B$11:$B$210,A36,'LÍNEAS-DE-PEDIDO'!$M$11:$M$210))</x:f>
      </x:c>
      <x:c r="N36" s="59" t="str">
        <x:f>IF(A36="","",M36*I36)</x:f>
      </x:c>
      <x:c r="O36" s="59" t="str">
        <x:f>IF(A36="","",M36+N36+J36)</x:f>
      </x:c>
      <x:c r="P36" s="59" t="str">
        <x:f>IF(A36="","",SUMIF('LÍNEAS-DE-PEDIDO'!$B$11:$B$210,A36,'LÍNEAS-DE-PEDIDO'!$N$11:$N$210))</x:f>
      </x:c>
      <x:c r="Q36" s="59" t="str">
        <x:f>IF(A36="","",IF(H36="Cancelada",0,MAX(M36-P36,0)))</x:f>
      </x:c>
      <x:c r="R36" s="60" t="str">
        <x:f>IF(A36="","",IF(M36=0,0,MIN(P36/M36,1)))</x:f>
      </x:c>
      <x:c r="S36" s="46" t="str">
        <x:f>IF(A36="","",IF(H36="Cancelada","Cancelada",IF(L36=0,"Sin líneas",IF(Q36=0,"Completa",IF(F36&lt;'CONFIGURACIÓN'!$B$7,"Vencida",IF(F36&lt;='CONFIGURACIÓN'!$B$7+'CONFIGURACIÓN'!$B$9,"Próxima a vencer","Abierta"))))))</x:f>
      </x:c>
    </x:row>
    <x:row r="37">
      <x:c r="A37" s="44"/>
      <x:c r="B37" s="51"/>
      <x:c r="C37" s="44"/>
      <x:c r="D37" s="44"/>
      <x:c r="E37" s="44"/>
      <x:c r="F37" s="51"/>
      <x:c r="G37" s="44"/>
      <x:c r="H37" s="44"/>
      <x:c r="I37" s="58"/>
      <x:c r="J37" s="53"/>
      <x:c r="K37" s="44"/>
      <x:c r="L37" s="46" t="str">
        <x:f>IF(A37="","",COUNTIF('LÍNEAS-DE-PEDIDO'!$B$11:$B$210,A37))</x:f>
      </x:c>
      <x:c r="M37" s="59" t="str">
        <x:f>IF(A37="","",SUMIF('LÍNEAS-DE-PEDIDO'!$B$11:$B$210,A37,'LÍNEAS-DE-PEDIDO'!$M$11:$M$210))</x:f>
      </x:c>
      <x:c r="N37" s="59" t="str">
        <x:f>IF(A37="","",M37*I37)</x:f>
      </x:c>
      <x:c r="O37" s="59" t="str">
        <x:f>IF(A37="","",M37+N37+J37)</x:f>
      </x:c>
      <x:c r="P37" s="59" t="str">
        <x:f>IF(A37="","",SUMIF('LÍNEAS-DE-PEDIDO'!$B$11:$B$210,A37,'LÍNEAS-DE-PEDIDO'!$N$11:$N$210))</x:f>
      </x:c>
      <x:c r="Q37" s="59" t="str">
        <x:f>IF(A37="","",IF(H37="Cancelada",0,MAX(M37-P37,0)))</x:f>
      </x:c>
      <x:c r="R37" s="60" t="str">
        <x:f>IF(A37="","",IF(M37=0,0,MIN(P37/M37,1)))</x:f>
      </x:c>
      <x:c r="S37" s="46" t="str">
        <x:f>IF(A37="","",IF(H37="Cancelada","Cancelada",IF(L37=0,"Sin líneas",IF(Q37=0,"Completa",IF(F37&lt;'CONFIGURACIÓN'!$B$7,"Vencida",IF(F37&lt;='CONFIGURACIÓN'!$B$7+'CONFIGURACIÓN'!$B$9,"Próxima a vencer","Abierta"))))))</x:f>
      </x:c>
    </x:row>
    <x:row r="38">
      <x:c r="A38" s="44"/>
      <x:c r="B38" s="51"/>
      <x:c r="C38" s="44"/>
      <x:c r="D38" s="44"/>
      <x:c r="E38" s="44"/>
      <x:c r="F38" s="51"/>
      <x:c r="G38" s="44"/>
      <x:c r="H38" s="44"/>
      <x:c r="I38" s="58"/>
      <x:c r="J38" s="53"/>
      <x:c r="K38" s="44"/>
      <x:c r="L38" s="46" t="str">
        <x:f>IF(A38="","",COUNTIF('LÍNEAS-DE-PEDIDO'!$B$11:$B$210,A38))</x:f>
      </x:c>
      <x:c r="M38" s="59" t="str">
        <x:f>IF(A38="","",SUMIF('LÍNEAS-DE-PEDIDO'!$B$11:$B$210,A38,'LÍNEAS-DE-PEDIDO'!$M$11:$M$210))</x:f>
      </x:c>
      <x:c r="N38" s="59" t="str">
        <x:f>IF(A38="","",M38*I38)</x:f>
      </x:c>
      <x:c r="O38" s="59" t="str">
        <x:f>IF(A38="","",M38+N38+J38)</x:f>
      </x:c>
      <x:c r="P38" s="59" t="str">
        <x:f>IF(A38="","",SUMIF('LÍNEAS-DE-PEDIDO'!$B$11:$B$210,A38,'LÍNEAS-DE-PEDIDO'!$N$11:$N$210))</x:f>
      </x:c>
      <x:c r="Q38" s="59" t="str">
        <x:f>IF(A38="","",IF(H38="Cancelada",0,MAX(M38-P38,0)))</x:f>
      </x:c>
      <x:c r="R38" s="60" t="str">
        <x:f>IF(A38="","",IF(M38=0,0,MIN(P38/M38,1)))</x:f>
      </x:c>
      <x:c r="S38" s="46" t="str">
        <x:f>IF(A38="","",IF(H38="Cancelada","Cancelada",IF(L38=0,"Sin líneas",IF(Q38=0,"Completa",IF(F38&lt;'CONFIGURACIÓN'!$B$7,"Vencida",IF(F38&lt;='CONFIGURACIÓN'!$B$7+'CONFIGURACIÓN'!$B$9,"Próxima a vencer","Abierta"))))))</x:f>
      </x:c>
    </x:row>
    <x:row r="39">
      <x:c r="A39" s="44"/>
      <x:c r="B39" s="51"/>
      <x:c r="C39" s="44"/>
      <x:c r="D39" s="44"/>
      <x:c r="E39" s="44"/>
      <x:c r="F39" s="51"/>
      <x:c r="G39" s="44"/>
      <x:c r="H39" s="44"/>
      <x:c r="I39" s="58"/>
      <x:c r="J39" s="53"/>
      <x:c r="K39" s="44"/>
      <x:c r="L39" s="46" t="str">
        <x:f>IF(A39="","",COUNTIF('LÍNEAS-DE-PEDIDO'!$B$11:$B$210,A39))</x:f>
      </x:c>
      <x:c r="M39" s="59" t="str">
        <x:f>IF(A39="","",SUMIF('LÍNEAS-DE-PEDIDO'!$B$11:$B$210,A39,'LÍNEAS-DE-PEDIDO'!$M$11:$M$210))</x:f>
      </x:c>
      <x:c r="N39" s="59" t="str">
        <x:f>IF(A39="","",M39*I39)</x:f>
      </x:c>
      <x:c r="O39" s="59" t="str">
        <x:f>IF(A39="","",M39+N39+J39)</x:f>
      </x:c>
      <x:c r="P39" s="59" t="str">
        <x:f>IF(A39="","",SUMIF('LÍNEAS-DE-PEDIDO'!$B$11:$B$210,A39,'LÍNEAS-DE-PEDIDO'!$N$11:$N$210))</x:f>
      </x:c>
      <x:c r="Q39" s="59" t="str">
        <x:f>IF(A39="","",IF(H39="Cancelada",0,MAX(M39-P39,0)))</x:f>
      </x:c>
      <x:c r="R39" s="60" t="str">
        <x:f>IF(A39="","",IF(M39=0,0,MIN(P39/M39,1)))</x:f>
      </x:c>
      <x:c r="S39" s="46" t="str">
        <x:f>IF(A39="","",IF(H39="Cancelada","Cancelada",IF(L39=0,"Sin líneas",IF(Q39=0,"Completa",IF(F39&lt;'CONFIGURACIÓN'!$B$7,"Vencida",IF(F39&lt;='CONFIGURACIÓN'!$B$7+'CONFIGURACIÓN'!$B$9,"Próxima a vencer","Abierta"))))))</x:f>
      </x:c>
    </x:row>
    <x:row r="40">
      <x:c r="A40" s="44"/>
      <x:c r="B40" s="51"/>
      <x:c r="C40" s="44"/>
      <x:c r="D40" s="44"/>
      <x:c r="E40" s="44"/>
      <x:c r="F40" s="51"/>
      <x:c r="G40" s="44"/>
      <x:c r="H40" s="44"/>
      <x:c r="I40" s="58"/>
      <x:c r="J40" s="53"/>
      <x:c r="K40" s="44"/>
      <x:c r="L40" s="46" t="str">
        <x:f>IF(A40="","",COUNTIF('LÍNEAS-DE-PEDIDO'!$B$11:$B$210,A40))</x:f>
      </x:c>
      <x:c r="M40" s="59" t="str">
        <x:f>IF(A40="","",SUMIF('LÍNEAS-DE-PEDIDO'!$B$11:$B$210,A40,'LÍNEAS-DE-PEDIDO'!$M$11:$M$210))</x:f>
      </x:c>
      <x:c r="N40" s="59" t="str">
        <x:f>IF(A40="","",M40*I40)</x:f>
      </x:c>
      <x:c r="O40" s="59" t="str">
        <x:f>IF(A40="","",M40+N40+J40)</x:f>
      </x:c>
      <x:c r="P40" s="59" t="str">
        <x:f>IF(A40="","",SUMIF('LÍNEAS-DE-PEDIDO'!$B$11:$B$210,A40,'LÍNEAS-DE-PEDIDO'!$N$11:$N$210))</x:f>
      </x:c>
      <x:c r="Q40" s="59" t="str">
        <x:f>IF(A40="","",IF(H40="Cancelada",0,MAX(M40-P40,0)))</x:f>
      </x:c>
      <x:c r="R40" s="60" t="str">
        <x:f>IF(A40="","",IF(M40=0,0,MIN(P40/M40,1)))</x:f>
      </x:c>
      <x:c r="S40" s="46" t="str">
        <x:f>IF(A40="","",IF(H40="Cancelada","Cancelada",IF(L40=0,"Sin líneas",IF(Q40=0,"Completa",IF(F40&lt;'CONFIGURACIÓN'!$B$7,"Vencida",IF(F40&lt;='CONFIGURACIÓN'!$B$7+'CONFIGURACIÓN'!$B$9,"Próxima a vencer","Abierta"))))))</x:f>
      </x:c>
    </x:row>
    <x:row r="41">
      <x:c r="A41" s="44"/>
      <x:c r="B41" s="51"/>
      <x:c r="C41" s="44"/>
      <x:c r="D41" s="44"/>
      <x:c r="E41" s="44"/>
      <x:c r="F41" s="51"/>
      <x:c r="G41" s="44"/>
      <x:c r="H41" s="44"/>
      <x:c r="I41" s="58"/>
      <x:c r="J41" s="53"/>
      <x:c r="K41" s="44"/>
      <x:c r="L41" s="46" t="str">
        <x:f>IF(A41="","",COUNTIF('LÍNEAS-DE-PEDIDO'!$B$11:$B$210,A41))</x:f>
      </x:c>
      <x:c r="M41" s="59" t="str">
        <x:f>IF(A41="","",SUMIF('LÍNEAS-DE-PEDIDO'!$B$11:$B$210,A41,'LÍNEAS-DE-PEDIDO'!$M$11:$M$210))</x:f>
      </x:c>
      <x:c r="N41" s="59" t="str">
        <x:f>IF(A41="","",M41*I41)</x:f>
      </x:c>
      <x:c r="O41" s="59" t="str">
        <x:f>IF(A41="","",M41+N41+J41)</x:f>
      </x:c>
      <x:c r="P41" s="59" t="str">
        <x:f>IF(A41="","",SUMIF('LÍNEAS-DE-PEDIDO'!$B$11:$B$210,A41,'LÍNEAS-DE-PEDIDO'!$N$11:$N$210))</x:f>
      </x:c>
      <x:c r="Q41" s="59" t="str">
        <x:f>IF(A41="","",IF(H41="Cancelada",0,MAX(M41-P41,0)))</x:f>
      </x:c>
      <x:c r="R41" s="60" t="str">
        <x:f>IF(A41="","",IF(M41=0,0,MIN(P41/M41,1)))</x:f>
      </x:c>
      <x:c r="S41" s="46" t="str">
        <x:f>IF(A41="","",IF(H41="Cancelada","Cancelada",IF(L41=0,"Sin líneas",IF(Q41=0,"Completa",IF(F41&lt;'CONFIGURACIÓN'!$B$7,"Vencida",IF(F41&lt;='CONFIGURACIÓN'!$B$7+'CONFIGURACIÓN'!$B$9,"Próxima a vencer","Abierta"))))))</x:f>
      </x:c>
    </x:row>
    <x:row r="42">
      <x:c r="A42" s="44"/>
      <x:c r="B42" s="51"/>
      <x:c r="C42" s="44"/>
      <x:c r="D42" s="44"/>
      <x:c r="E42" s="44"/>
      <x:c r="F42" s="51"/>
      <x:c r="G42" s="44"/>
      <x:c r="H42" s="44"/>
      <x:c r="I42" s="58"/>
      <x:c r="J42" s="53"/>
      <x:c r="K42" s="44"/>
      <x:c r="L42" s="46" t="str">
        <x:f>IF(A42="","",COUNTIF('LÍNEAS-DE-PEDIDO'!$B$11:$B$210,A42))</x:f>
      </x:c>
      <x:c r="M42" s="59" t="str">
        <x:f>IF(A42="","",SUMIF('LÍNEAS-DE-PEDIDO'!$B$11:$B$210,A42,'LÍNEAS-DE-PEDIDO'!$M$11:$M$210))</x:f>
      </x:c>
      <x:c r="N42" s="59" t="str">
        <x:f>IF(A42="","",M42*I42)</x:f>
      </x:c>
      <x:c r="O42" s="59" t="str">
        <x:f>IF(A42="","",M42+N42+J42)</x:f>
      </x:c>
      <x:c r="P42" s="59" t="str">
        <x:f>IF(A42="","",SUMIF('LÍNEAS-DE-PEDIDO'!$B$11:$B$210,A42,'LÍNEAS-DE-PEDIDO'!$N$11:$N$210))</x:f>
      </x:c>
      <x:c r="Q42" s="59" t="str">
        <x:f>IF(A42="","",IF(H42="Cancelada",0,MAX(M42-P42,0)))</x:f>
      </x:c>
      <x:c r="R42" s="60" t="str">
        <x:f>IF(A42="","",IF(M42=0,0,MIN(P42/M42,1)))</x:f>
      </x:c>
      <x:c r="S42" s="46" t="str">
        <x:f>IF(A42="","",IF(H42="Cancelada","Cancelada",IF(L42=0,"Sin líneas",IF(Q42=0,"Completa",IF(F42&lt;'CONFIGURACIÓN'!$B$7,"Vencida",IF(F42&lt;='CONFIGURACIÓN'!$B$7+'CONFIGURACIÓN'!$B$9,"Próxima a vencer","Abierta"))))))</x:f>
      </x:c>
    </x:row>
    <x:row r="43">
      <x:c r="A43" s="44"/>
      <x:c r="B43" s="51"/>
      <x:c r="C43" s="44"/>
      <x:c r="D43" s="44"/>
      <x:c r="E43" s="44"/>
      <x:c r="F43" s="51"/>
      <x:c r="G43" s="44"/>
      <x:c r="H43" s="44"/>
      <x:c r="I43" s="58"/>
      <x:c r="J43" s="53"/>
      <x:c r="K43" s="44"/>
      <x:c r="L43" s="46" t="str">
        <x:f>IF(A43="","",COUNTIF('LÍNEAS-DE-PEDIDO'!$B$11:$B$210,A43))</x:f>
      </x:c>
      <x:c r="M43" s="59" t="str">
        <x:f>IF(A43="","",SUMIF('LÍNEAS-DE-PEDIDO'!$B$11:$B$210,A43,'LÍNEAS-DE-PEDIDO'!$M$11:$M$210))</x:f>
      </x:c>
      <x:c r="N43" s="59" t="str">
        <x:f>IF(A43="","",M43*I43)</x:f>
      </x:c>
      <x:c r="O43" s="59" t="str">
        <x:f>IF(A43="","",M43+N43+J43)</x:f>
      </x:c>
      <x:c r="P43" s="59" t="str">
        <x:f>IF(A43="","",SUMIF('LÍNEAS-DE-PEDIDO'!$B$11:$B$210,A43,'LÍNEAS-DE-PEDIDO'!$N$11:$N$210))</x:f>
      </x:c>
      <x:c r="Q43" s="59" t="str">
        <x:f>IF(A43="","",IF(H43="Cancelada",0,MAX(M43-P43,0)))</x:f>
      </x:c>
      <x:c r="R43" s="60" t="str">
        <x:f>IF(A43="","",IF(M43=0,0,MIN(P43/M43,1)))</x:f>
      </x:c>
      <x:c r="S43" s="46" t="str">
        <x:f>IF(A43="","",IF(H43="Cancelada","Cancelada",IF(L43=0,"Sin líneas",IF(Q43=0,"Completa",IF(F43&lt;'CONFIGURACIÓN'!$B$7,"Vencida",IF(F43&lt;='CONFIGURACIÓN'!$B$7+'CONFIGURACIÓN'!$B$9,"Próxima a vencer","Abierta"))))))</x:f>
      </x:c>
    </x:row>
    <x:row r="44">
      <x:c r="A44" s="44"/>
      <x:c r="B44" s="51"/>
      <x:c r="C44" s="44"/>
      <x:c r="D44" s="44"/>
      <x:c r="E44" s="44"/>
      <x:c r="F44" s="51"/>
      <x:c r="G44" s="44"/>
      <x:c r="H44" s="44"/>
      <x:c r="I44" s="58"/>
      <x:c r="J44" s="53"/>
      <x:c r="K44" s="44"/>
      <x:c r="L44" s="46" t="str">
        <x:f>IF(A44="","",COUNTIF('LÍNEAS-DE-PEDIDO'!$B$11:$B$210,A44))</x:f>
      </x:c>
      <x:c r="M44" s="59" t="str">
        <x:f>IF(A44="","",SUMIF('LÍNEAS-DE-PEDIDO'!$B$11:$B$210,A44,'LÍNEAS-DE-PEDIDO'!$M$11:$M$210))</x:f>
      </x:c>
      <x:c r="N44" s="59" t="str">
        <x:f>IF(A44="","",M44*I44)</x:f>
      </x:c>
      <x:c r="O44" s="59" t="str">
        <x:f>IF(A44="","",M44+N44+J44)</x:f>
      </x:c>
      <x:c r="P44" s="59" t="str">
        <x:f>IF(A44="","",SUMIF('LÍNEAS-DE-PEDIDO'!$B$11:$B$210,A44,'LÍNEAS-DE-PEDIDO'!$N$11:$N$210))</x:f>
      </x:c>
      <x:c r="Q44" s="59" t="str">
        <x:f>IF(A44="","",IF(H44="Cancelada",0,MAX(M44-P44,0)))</x:f>
      </x:c>
      <x:c r="R44" s="60" t="str">
        <x:f>IF(A44="","",IF(M44=0,0,MIN(P44/M44,1)))</x:f>
      </x:c>
      <x:c r="S44" s="46" t="str">
        <x:f>IF(A44="","",IF(H44="Cancelada","Cancelada",IF(L44=0,"Sin líneas",IF(Q44=0,"Completa",IF(F44&lt;'CONFIGURACIÓN'!$B$7,"Vencida",IF(F44&lt;='CONFIGURACIÓN'!$B$7+'CONFIGURACIÓN'!$B$9,"Próxima a vencer","Abierta"))))))</x:f>
      </x:c>
    </x:row>
    <x:row r="45">
      <x:c r="A45" s="44"/>
      <x:c r="B45" s="51"/>
      <x:c r="C45" s="44"/>
      <x:c r="D45" s="44"/>
      <x:c r="E45" s="44"/>
      <x:c r="F45" s="51"/>
      <x:c r="G45" s="44"/>
      <x:c r="H45" s="44"/>
      <x:c r="I45" s="58"/>
      <x:c r="J45" s="53"/>
      <x:c r="K45" s="44"/>
      <x:c r="L45" s="46" t="str">
        <x:f>IF(A45="","",COUNTIF('LÍNEAS-DE-PEDIDO'!$B$11:$B$210,A45))</x:f>
      </x:c>
      <x:c r="M45" s="59" t="str">
        <x:f>IF(A45="","",SUMIF('LÍNEAS-DE-PEDIDO'!$B$11:$B$210,A45,'LÍNEAS-DE-PEDIDO'!$M$11:$M$210))</x:f>
      </x:c>
      <x:c r="N45" s="59" t="str">
        <x:f>IF(A45="","",M45*I45)</x:f>
      </x:c>
      <x:c r="O45" s="59" t="str">
        <x:f>IF(A45="","",M45+N45+J45)</x:f>
      </x:c>
      <x:c r="P45" s="59" t="str">
        <x:f>IF(A45="","",SUMIF('LÍNEAS-DE-PEDIDO'!$B$11:$B$210,A45,'LÍNEAS-DE-PEDIDO'!$N$11:$N$210))</x:f>
      </x:c>
      <x:c r="Q45" s="59" t="str">
        <x:f>IF(A45="","",IF(H45="Cancelada",0,MAX(M45-P45,0)))</x:f>
      </x:c>
      <x:c r="R45" s="60" t="str">
        <x:f>IF(A45="","",IF(M45=0,0,MIN(P45/M45,1)))</x:f>
      </x:c>
      <x:c r="S45" s="46" t="str">
        <x:f>IF(A45="","",IF(H45="Cancelada","Cancelada",IF(L45=0,"Sin líneas",IF(Q45=0,"Completa",IF(F45&lt;'CONFIGURACIÓN'!$B$7,"Vencida",IF(F45&lt;='CONFIGURACIÓN'!$B$7+'CONFIGURACIÓN'!$B$9,"Próxima a vencer","Abierta"))))))</x:f>
      </x:c>
    </x:row>
    <x:row r="46">
      <x:c r="A46" s="44"/>
      <x:c r="B46" s="51"/>
      <x:c r="C46" s="44"/>
      <x:c r="D46" s="44"/>
      <x:c r="E46" s="44"/>
      <x:c r="F46" s="51"/>
      <x:c r="G46" s="44"/>
      <x:c r="H46" s="44"/>
      <x:c r="I46" s="58"/>
      <x:c r="J46" s="53"/>
      <x:c r="K46" s="44"/>
      <x:c r="L46" s="46" t="str">
        <x:f>IF(A46="","",COUNTIF('LÍNEAS-DE-PEDIDO'!$B$11:$B$210,A46))</x:f>
      </x:c>
      <x:c r="M46" s="59" t="str">
        <x:f>IF(A46="","",SUMIF('LÍNEAS-DE-PEDIDO'!$B$11:$B$210,A46,'LÍNEAS-DE-PEDIDO'!$M$11:$M$210))</x:f>
      </x:c>
      <x:c r="N46" s="59" t="str">
        <x:f>IF(A46="","",M46*I46)</x:f>
      </x:c>
      <x:c r="O46" s="59" t="str">
        <x:f>IF(A46="","",M46+N46+J46)</x:f>
      </x:c>
      <x:c r="P46" s="59" t="str">
        <x:f>IF(A46="","",SUMIF('LÍNEAS-DE-PEDIDO'!$B$11:$B$210,A46,'LÍNEAS-DE-PEDIDO'!$N$11:$N$210))</x:f>
      </x:c>
      <x:c r="Q46" s="59" t="str">
        <x:f>IF(A46="","",IF(H46="Cancelada",0,MAX(M46-P46,0)))</x:f>
      </x:c>
      <x:c r="R46" s="60" t="str">
        <x:f>IF(A46="","",IF(M46=0,0,MIN(P46/M46,1)))</x:f>
      </x:c>
      <x:c r="S46" s="46" t="str">
        <x:f>IF(A46="","",IF(H46="Cancelada","Cancelada",IF(L46=0,"Sin líneas",IF(Q46=0,"Completa",IF(F46&lt;'CONFIGURACIÓN'!$B$7,"Vencida",IF(F46&lt;='CONFIGURACIÓN'!$B$7+'CONFIGURACIÓN'!$B$9,"Próxima a vencer","Abierta"))))))</x:f>
      </x:c>
    </x:row>
    <x:row r="47">
      <x:c r="A47" s="44"/>
      <x:c r="B47" s="51"/>
      <x:c r="C47" s="44"/>
      <x:c r="D47" s="44"/>
      <x:c r="E47" s="44"/>
      <x:c r="F47" s="51"/>
      <x:c r="G47" s="44"/>
      <x:c r="H47" s="44"/>
      <x:c r="I47" s="58"/>
      <x:c r="J47" s="53"/>
      <x:c r="K47" s="44"/>
      <x:c r="L47" s="46" t="str">
        <x:f>IF(A47="","",COUNTIF('LÍNEAS-DE-PEDIDO'!$B$11:$B$210,A47))</x:f>
      </x:c>
      <x:c r="M47" s="59" t="str">
        <x:f>IF(A47="","",SUMIF('LÍNEAS-DE-PEDIDO'!$B$11:$B$210,A47,'LÍNEAS-DE-PEDIDO'!$M$11:$M$210))</x:f>
      </x:c>
      <x:c r="N47" s="59" t="str">
        <x:f>IF(A47="","",M47*I47)</x:f>
      </x:c>
      <x:c r="O47" s="59" t="str">
        <x:f>IF(A47="","",M47+N47+J47)</x:f>
      </x:c>
      <x:c r="P47" s="59" t="str">
        <x:f>IF(A47="","",SUMIF('LÍNEAS-DE-PEDIDO'!$B$11:$B$210,A47,'LÍNEAS-DE-PEDIDO'!$N$11:$N$210))</x:f>
      </x:c>
      <x:c r="Q47" s="59" t="str">
        <x:f>IF(A47="","",IF(H47="Cancelada",0,MAX(M47-P47,0)))</x:f>
      </x:c>
      <x:c r="R47" s="60" t="str">
        <x:f>IF(A47="","",IF(M47=0,0,MIN(P47/M47,1)))</x:f>
      </x:c>
      <x:c r="S47" s="46" t="str">
        <x:f>IF(A47="","",IF(H47="Cancelada","Cancelada",IF(L47=0,"Sin líneas",IF(Q47=0,"Completa",IF(F47&lt;'CONFIGURACIÓN'!$B$7,"Vencida",IF(F47&lt;='CONFIGURACIÓN'!$B$7+'CONFIGURACIÓN'!$B$9,"Próxima a vencer","Abierta"))))))</x:f>
      </x:c>
    </x:row>
    <x:row r="48">
      <x:c r="A48" s="44"/>
      <x:c r="B48" s="51"/>
      <x:c r="C48" s="44"/>
      <x:c r="D48" s="44"/>
      <x:c r="E48" s="44"/>
      <x:c r="F48" s="51"/>
      <x:c r="G48" s="44"/>
      <x:c r="H48" s="44"/>
      <x:c r="I48" s="58"/>
      <x:c r="J48" s="53"/>
      <x:c r="K48" s="44"/>
      <x:c r="L48" s="46" t="str">
        <x:f>IF(A48="","",COUNTIF('LÍNEAS-DE-PEDIDO'!$B$11:$B$210,A48))</x:f>
      </x:c>
      <x:c r="M48" s="59" t="str">
        <x:f>IF(A48="","",SUMIF('LÍNEAS-DE-PEDIDO'!$B$11:$B$210,A48,'LÍNEAS-DE-PEDIDO'!$M$11:$M$210))</x:f>
      </x:c>
      <x:c r="N48" s="59" t="str">
        <x:f>IF(A48="","",M48*I48)</x:f>
      </x:c>
      <x:c r="O48" s="59" t="str">
        <x:f>IF(A48="","",M48+N48+J48)</x:f>
      </x:c>
      <x:c r="P48" s="59" t="str">
        <x:f>IF(A48="","",SUMIF('LÍNEAS-DE-PEDIDO'!$B$11:$B$210,A48,'LÍNEAS-DE-PEDIDO'!$N$11:$N$210))</x:f>
      </x:c>
      <x:c r="Q48" s="59" t="str">
        <x:f>IF(A48="","",IF(H48="Cancelada",0,MAX(M48-P48,0)))</x:f>
      </x:c>
      <x:c r="R48" s="60" t="str">
        <x:f>IF(A48="","",IF(M48=0,0,MIN(P48/M48,1)))</x:f>
      </x:c>
      <x:c r="S48" s="46" t="str">
        <x:f>IF(A48="","",IF(H48="Cancelada","Cancelada",IF(L48=0,"Sin líneas",IF(Q48=0,"Completa",IF(F48&lt;'CONFIGURACIÓN'!$B$7,"Vencida",IF(F48&lt;='CONFIGURACIÓN'!$B$7+'CONFIGURACIÓN'!$B$9,"Próxima a vencer","Abierta"))))))</x:f>
      </x:c>
    </x:row>
    <x:row r="49">
      <x:c r="A49" s="44"/>
      <x:c r="B49" s="51"/>
      <x:c r="C49" s="44"/>
      <x:c r="D49" s="44"/>
      <x:c r="E49" s="44"/>
      <x:c r="F49" s="51"/>
      <x:c r="G49" s="44"/>
      <x:c r="H49" s="44"/>
      <x:c r="I49" s="58"/>
      <x:c r="J49" s="53"/>
      <x:c r="K49" s="44"/>
      <x:c r="L49" s="46" t="str">
        <x:f>IF(A49="","",COUNTIF('LÍNEAS-DE-PEDIDO'!$B$11:$B$210,A49))</x:f>
      </x:c>
      <x:c r="M49" s="59" t="str">
        <x:f>IF(A49="","",SUMIF('LÍNEAS-DE-PEDIDO'!$B$11:$B$210,A49,'LÍNEAS-DE-PEDIDO'!$M$11:$M$210))</x:f>
      </x:c>
      <x:c r="N49" s="59" t="str">
        <x:f>IF(A49="","",M49*I49)</x:f>
      </x:c>
      <x:c r="O49" s="59" t="str">
        <x:f>IF(A49="","",M49+N49+J49)</x:f>
      </x:c>
      <x:c r="P49" s="59" t="str">
        <x:f>IF(A49="","",SUMIF('LÍNEAS-DE-PEDIDO'!$B$11:$B$210,A49,'LÍNEAS-DE-PEDIDO'!$N$11:$N$210))</x:f>
      </x:c>
      <x:c r="Q49" s="59" t="str">
        <x:f>IF(A49="","",IF(H49="Cancelada",0,MAX(M49-P49,0)))</x:f>
      </x:c>
      <x:c r="R49" s="60" t="str">
        <x:f>IF(A49="","",IF(M49=0,0,MIN(P49/M49,1)))</x:f>
      </x:c>
      <x:c r="S49" s="46" t="str">
        <x:f>IF(A49="","",IF(H49="Cancelada","Cancelada",IF(L49=0,"Sin líneas",IF(Q49=0,"Completa",IF(F49&lt;'CONFIGURACIÓN'!$B$7,"Vencida",IF(F49&lt;='CONFIGURACIÓN'!$B$7+'CONFIGURACIÓN'!$B$9,"Próxima a vencer","Abierta"))))))</x:f>
      </x:c>
    </x:row>
    <x:row r="50">
      <x:c r="A50" s="44"/>
      <x:c r="B50" s="51"/>
      <x:c r="C50" s="44"/>
      <x:c r="D50" s="44"/>
      <x:c r="E50" s="44"/>
      <x:c r="F50" s="51"/>
      <x:c r="G50" s="44"/>
      <x:c r="H50" s="44"/>
      <x:c r="I50" s="58"/>
      <x:c r="J50" s="53"/>
      <x:c r="K50" s="44"/>
      <x:c r="L50" s="46" t="str">
        <x:f>IF(A50="","",COUNTIF('LÍNEAS-DE-PEDIDO'!$B$11:$B$210,A50))</x:f>
      </x:c>
      <x:c r="M50" s="59" t="str">
        <x:f>IF(A50="","",SUMIF('LÍNEAS-DE-PEDIDO'!$B$11:$B$210,A50,'LÍNEAS-DE-PEDIDO'!$M$11:$M$210))</x:f>
      </x:c>
      <x:c r="N50" s="59" t="str">
        <x:f>IF(A50="","",M50*I50)</x:f>
      </x:c>
      <x:c r="O50" s="59" t="str">
        <x:f>IF(A50="","",M50+N50+J50)</x:f>
      </x:c>
      <x:c r="P50" s="59" t="str">
        <x:f>IF(A50="","",SUMIF('LÍNEAS-DE-PEDIDO'!$B$11:$B$210,A50,'LÍNEAS-DE-PEDIDO'!$N$11:$N$210))</x:f>
      </x:c>
      <x:c r="Q50" s="59" t="str">
        <x:f>IF(A50="","",IF(H50="Cancelada",0,MAX(M50-P50,0)))</x:f>
      </x:c>
      <x:c r="R50" s="60" t="str">
        <x:f>IF(A50="","",IF(M50=0,0,MIN(P50/M50,1)))</x:f>
      </x:c>
      <x:c r="S50" s="46" t="str">
        <x:f>IF(A50="","",IF(H50="Cancelada","Cancelada",IF(L50=0,"Sin líneas",IF(Q50=0,"Completa",IF(F50&lt;'CONFIGURACIÓN'!$B$7,"Vencida",IF(F50&lt;='CONFIGURACIÓN'!$B$7+'CONFIGURACIÓN'!$B$9,"Próxima a vencer","Abierta"))))))</x:f>
      </x:c>
    </x:row>
    <x:row r="51">
      <x:c r="A51" s="44"/>
      <x:c r="B51" s="51"/>
      <x:c r="C51" s="44"/>
      <x:c r="D51" s="44"/>
      <x:c r="E51" s="44"/>
      <x:c r="F51" s="51"/>
      <x:c r="G51" s="44"/>
      <x:c r="H51" s="44"/>
      <x:c r="I51" s="58"/>
      <x:c r="J51" s="53"/>
      <x:c r="K51" s="44"/>
      <x:c r="L51" s="46" t="str">
        <x:f>IF(A51="","",COUNTIF('LÍNEAS-DE-PEDIDO'!$B$11:$B$210,A51))</x:f>
      </x:c>
      <x:c r="M51" s="59" t="str">
        <x:f>IF(A51="","",SUMIF('LÍNEAS-DE-PEDIDO'!$B$11:$B$210,A51,'LÍNEAS-DE-PEDIDO'!$M$11:$M$210))</x:f>
      </x:c>
      <x:c r="N51" s="59" t="str">
        <x:f>IF(A51="","",M51*I51)</x:f>
      </x:c>
      <x:c r="O51" s="59" t="str">
        <x:f>IF(A51="","",M51+N51+J51)</x:f>
      </x:c>
      <x:c r="P51" s="59" t="str">
        <x:f>IF(A51="","",SUMIF('LÍNEAS-DE-PEDIDO'!$B$11:$B$210,A51,'LÍNEAS-DE-PEDIDO'!$N$11:$N$210))</x:f>
      </x:c>
      <x:c r="Q51" s="59" t="str">
        <x:f>IF(A51="","",IF(H51="Cancelada",0,MAX(M51-P51,0)))</x:f>
      </x:c>
      <x:c r="R51" s="60" t="str">
        <x:f>IF(A51="","",IF(M51=0,0,MIN(P51/M51,1)))</x:f>
      </x:c>
      <x:c r="S51" s="46" t="str">
        <x:f>IF(A51="","",IF(H51="Cancelada","Cancelada",IF(L51=0,"Sin líneas",IF(Q51=0,"Completa",IF(F51&lt;'CONFIGURACIÓN'!$B$7,"Vencida",IF(F51&lt;='CONFIGURACIÓN'!$B$7+'CONFIGURACIÓN'!$B$9,"Próxima a vencer","Abierta"))))))</x:f>
      </x:c>
    </x:row>
    <x:row r="52">
      <x:c r="A52" s="44"/>
      <x:c r="B52" s="51"/>
      <x:c r="C52" s="44"/>
      <x:c r="D52" s="44"/>
      <x:c r="E52" s="44"/>
      <x:c r="F52" s="51"/>
      <x:c r="G52" s="44"/>
      <x:c r="H52" s="44"/>
      <x:c r="I52" s="58"/>
      <x:c r="J52" s="53"/>
      <x:c r="K52" s="44"/>
      <x:c r="L52" s="46" t="str">
        <x:f>IF(A52="","",COUNTIF('LÍNEAS-DE-PEDIDO'!$B$11:$B$210,A52))</x:f>
      </x:c>
      <x:c r="M52" s="59" t="str">
        <x:f>IF(A52="","",SUMIF('LÍNEAS-DE-PEDIDO'!$B$11:$B$210,A52,'LÍNEAS-DE-PEDIDO'!$M$11:$M$210))</x:f>
      </x:c>
      <x:c r="N52" s="59" t="str">
        <x:f>IF(A52="","",M52*I52)</x:f>
      </x:c>
      <x:c r="O52" s="59" t="str">
        <x:f>IF(A52="","",M52+N52+J52)</x:f>
      </x:c>
      <x:c r="P52" s="59" t="str">
        <x:f>IF(A52="","",SUMIF('LÍNEAS-DE-PEDIDO'!$B$11:$B$210,A52,'LÍNEAS-DE-PEDIDO'!$N$11:$N$210))</x:f>
      </x:c>
      <x:c r="Q52" s="59" t="str">
        <x:f>IF(A52="","",IF(H52="Cancelada",0,MAX(M52-P52,0)))</x:f>
      </x:c>
      <x:c r="R52" s="60" t="str">
        <x:f>IF(A52="","",IF(M52=0,0,MIN(P52/M52,1)))</x:f>
      </x:c>
      <x:c r="S52" s="46" t="str">
        <x:f>IF(A52="","",IF(H52="Cancelada","Cancelada",IF(L52=0,"Sin líneas",IF(Q52=0,"Completa",IF(F52&lt;'CONFIGURACIÓN'!$B$7,"Vencida",IF(F52&lt;='CONFIGURACIÓN'!$B$7+'CONFIGURACIÓN'!$B$9,"Próxima a vencer","Abierta"))))))</x:f>
      </x:c>
    </x:row>
    <x:row r="53">
      <x:c r="A53" s="44"/>
      <x:c r="B53" s="51"/>
      <x:c r="C53" s="44"/>
      <x:c r="D53" s="44"/>
      <x:c r="E53" s="44"/>
      <x:c r="F53" s="51"/>
      <x:c r="G53" s="44"/>
      <x:c r="H53" s="44"/>
      <x:c r="I53" s="58"/>
      <x:c r="J53" s="53"/>
      <x:c r="K53" s="44"/>
      <x:c r="L53" s="46" t="str">
        <x:f>IF(A53="","",COUNTIF('LÍNEAS-DE-PEDIDO'!$B$11:$B$210,A53))</x:f>
      </x:c>
      <x:c r="M53" s="59" t="str">
        <x:f>IF(A53="","",SUMIF('LÍNEAS-DE-PEDIDO'!$B$11:$B$210,A53,'LÍNEAS-DE-PEDIDO'!$M$11:$M$210))</x:f>
      </x:c>
      <x:c r="N53" s="59" t="str">
        <x:f>IF(A53="","",M53*I53)</x:f>
      </x:c>
      <x:c r="O53" s="59" t="str">
        <x:f>IF(A53="","",M53+N53+J53)</x:f>
      </x:c>
      <x:c r="P53" s="59" t="str">
        <x:f>IF(A53="","",SUMIF('LÍNEAS-DE-PEDIDO'!$B$11:$B$210,A53,'LÍNEAS-DE-PEDIDO'!$N$11:$N$210))</x:f>
      </x:c>
      <x:c r="Q53" s="59" t="str">
        <x:f>IF(A53="","",IF(H53="Cancelada",0,MAX(M53-P53,0)))</x:f>
      </x:c>
      <x:c r="R53" s="60" t="str">
        <x:f>IF(A53="","",IF(M53=0,0,MIN(P53/M53,1)))</x:f>
      </x:c>
      <x:c r="S53" s="46" t="str">
        <x:f>IF(A53="","",IF(H53="Cancelada","Cancelada",IF(L53=0,"Sin líneas",IF(Q53=0,"Completa",IF(F53&lt;'CONFIGURACIÓN'!$B$7,"Vencida",IF(F53&lt;='CONFIGURACIÓN'!$B$7+'CONFIGURACIÓN'!$B$9,"Próxima a vencer","Abierta"))))))</x:f>
      </x:c>
    </x:row>
    <x:row r="54">
      <x:c r="A54" s="44"/>
      <x:c r="B54" s="51"/>
      <x:c r="C54" s="44"/>
      <x:c r="D54" s="44"/>
      <x:c r="E54" s="44"/>
      <x:c r="F54" s="51"/>
      <x:c r="G54" s="44"/>
      <x:c r="H54" s="44"/>
      <x:c r="I54" s="58"/>
      <x:c r="J54" s="53"/>
      <x:c r="K54" s="44"/>
      <x:c r="L54" s="46" t="str">
        <x:f>IF(A54="","",COUNTIF('LÍNEAS-DE-PEDIDO'!$B$11:$B$210,A54))</x:f>
      </x:c>
      <x:c r="M54" s="59" t="str">
        <x:f>IF(A54="","",SUMIF('LÍNEAS-DE-PEDIDO'!$B$11:$B$210,A54,'LÍNEAS-DE-PEDIDO'!$M$11:$M$210))</x:f>
      </x:c>
      <x:c r="N54" s="59" t="str">
        <x:f>IF(A54="","",M54*I54)</x:f>
      </x:c>
      <x:c r="O54" s="59" t="str">
        <x:f>IF(A54="","",M54+N54+J54)</x:f>
      </x:c>
      <x:c r="P54" s="59" t="str">
        <x:f>IF(A54="","",SUMIF('LÍNEAS-DE-PEDIDO'!$B$11:$B$210,A54,'LÍNEAS-DE-PEDIDO'!$N$11:$N$210))</x:f>
      </x:c>
      <x:c r="Q54" s="59" t="str">
        <x:f>IF(A54="","",IF(H54="Cancelada",0,MAX(M54-P54,0)))</x:f>
      </x:c>
      <x:c r="R54" s="60" t="str">
        <x:f>IF(A54="","",IF(M54=0,0,MIN(P54/M54,1)))</x:f>
      </x:c>
      <x:c r="S54" s="46" t="str">
        <x:f>IF(A54="","",IF(H54="Cancelada","Cancelada",IF(L54=0,"Sin líneas",IF(Q54=0,"Completa",IF(F54&lt;'CONFIGURACIÓN'!$B$7,"Vencida",IF(F54&lt;='CONFIGURACIÓN'!$B$7+'CONFIGURACIÓN'!$B$9,"Próxima a vencer","Abierta"))))))</x:f>
      </x:c>
    </x:row>
    <x:row r="55">
      <x:c r="A55" s="44"/>
      <x:c r="B55" s="51"/>
      <x:c r="C55" s="44"/>
      <x:c r="D55" s="44"/>
      <x:c r="E55" s="44"/>
      <x:c r="F55" s="51"/>
      <x:c r="G55" s="44"/>
      <x:c r="H55" s="44"/>
      <x:c r="I55" s="58"/>
      <x:c r="J55" s="53"/>
      <x:c r="K55" s="44"/>
      <x:c r="L55" s="46" t="str">
        <x:f>IF(A55="","",COUNTIF('LÍNEAS-DE-PEDIDO'!$B$11:$B$210,A55))</x:f>
      </x:c>
      <x:c r="M55" s="59" t="str">
        <x:f>IF(A55="","",SUMIF('LÍNEAS-DE-PEDIDO'!$B$11:$B$210,A55,'LÍNEAS-DE-PEDIDO'!$M$11:$M$210))</x:f>
      </x:c>
      <x:c r="N55" s="59" t="str">
        <x:f>IF(A55="","",M55*I55)</x:f>
      </x:c>
      <x:c r="O55" s="59" t="str">
        <x:f>IF(A55="","",M55+N55+J55)</x:f>
      </x:c>
      <x:c r="P55" s="59" t="str">
        <x:f>IF(A55="","",SUMIF('LÍNEAS-DE-PEDIDO'!$B$11:$B$210,A55,'LÍNEAS-DE-PEDIDO'!$N$11:$N$210))</x:f>
      </x:c>
      <x:c r="Q55" s="59" t="str">
        <x:f>IF(A55="","",IF(H55="Cancelada",0,MAX(M55-P55,0)))</x:f>
      </x:c>
      <x:c r="R55" s="60" t="str">
        <x:f>IF(A55="","",IF(M55=0,0,MIN(P55/M55,1)))</x:f>
      </x:c>
      <x:c r="S55" s="46" t="str">
        <x:f>IF(A55="","",IF(H55="Cancelada","Cancelada",IF(L55=0,"Sin líneas",IF(Q55=0,"Completa",IF(F55&lt;'CONFIGURACIÓN'!$B$7,"Vencida",IF(F55&lt;='CONFIGURACIÓN'!$B$7+'CONFIGURACIÓN'!$B$9,"Próxima a vencer","Abierta"))))))</x:f>
      </x:c>
    </x:row>
    <x:row r="56">
      <x:c r="A56" s="44"/>
      <x:c r="B56" s="51"/>
      <x:c r="C56" s="44"/>
      <x:c r="D56" s="44"/>
      <x:c r="E56" s="44"/>
      <x:c r="F56" s="51"/>
      <x:c r="G56" s="44"/>
      <x:c r="H56" s="44"/>
      <x:c r="I56" s="58"/>
      <x:c r="J56" s="53"/>
      <x:c r="K56" s="44"/>
      <x:c r="L56" s="46" t="str">
        <x:f>IF(A56="","",COUNTIF('LÍNEAS-DE-PEDIDO'!$B$11:$B$210,A56))</x:f>
      </x:c>
      <x:c r="M56" s="59" t="str">
        <x:f>IF(A56="","",SUMIF('LÍNEAS-DE-PEDIDO'!$B$11:$B$210,A56,'LÍNEAS-DE-PEDIDO'!$M$11:$M$210))</x:f>
      </x:c>
      <x:c r="N56" s="59" t="str">
        <x:f>IF(A56="","",M56*I56)</x:f>
      </x:c>
      <x:c r="O56" s="59" t="str">
        <x:f>IF(A56="","",M56+N56+J56)</x:f>
      </x:c>
      <x:c r="P56" s="59" t="str">
        <x:f>IF(A56="","",SUMIF('LÍNEAS-DE-PEDIDO'!$B$11:$B$210,A56,'LÍNEAS-DE-PEDIDO'!$N$11:$N$210))</x:f>
      </x:c>
      <x:c r="Q56" s="59" t="str">
        <x:f>IF(A56="","",IF(H56="Cancelada",0,MAX(M56-P56,0)))</x:f>
      </x:c>
      <x:c r="R56" s="60" t="str">
        <x:f>IF(A56="","",IF(M56=0,0,MIN(P56/M56,1)))</x:f>
      </x:c>
      <x:c r="S56" s="46" t="str">
        <x:f>IF(A56="","",IF(H56="Cancelada","Cancelada",IF(L56=0,"Sin líneas",IF(Q56=0,"Completa",IF(F56&lt;'CONFIGURACIÓN'!$B$7,"Vencida",IF(F56&lt;='CONFIGURACIÓN'!$B$7+'CONFIGURACIÓN'!$B$9,"Próxima a vencer","Abierta"))))))</x:f>
      </x:c>
    </x:row>
    <x:row r="57">
      <x:c r="A57" s="44"/>
      <x:c r="B57" s="51"/>
      <x:c r="C57" s="44"/>
      <x:c r="D57" s="44"/>
      <x:c r="E57" s="44"/>
      <x:c r="F57" s="51"/>
      <x:c r="G57" s="44"/>
      <x:c r="H57" s="44"/>
      <x:c r="I57" s="58"/>
      <x:c r="J57" s="53"/>
      <x:c r="K57" s="44"/>
      <x:c r="L57" s="46" t="str">
        <x:f>IF(A57="","",COUNTIF('LÍNEAS-DE-PEDIDO'!$B$11:$B$210,A57))</x:f>
      </x:c>
      <x:c r="M57" s="59" t="str">
        <x:f>IF(A57="","",SUMIF('LÍNEAS-DE-PEDIDO'!$B$11:$B$210,A57,'LÍNEAS-DE-PEDIDO'!$M$11:$M$210))</x:f>
      </x:c>
      <x:c r="N57" s="59" t="str">
        <x:f>IF(A57="","",M57*I57)</x:f>
      </x:c>
      <x:c r="O57" s="59" t="str">
        <x:f>IF(A57="","",M57+N57+J57)</x:f>
      </x:c>
      <x:c r="P57" s="59" t="str">
        <x:f>IF(A57="","",SUMIF('LÍNEAS-DE-PEDIDO'!$B$11:$B$210,A57,'LÍNEAS-DE-PEDIDO'!$N$11:$N$210))</x:f>
      </x:c>
      <x:c r="Q57" s="59" t="str">
        <x:f>IF(A57="","",IF(H57="Cancelada",0,MAX(M57-P57,0)))</x:f>
      </x:c>
      <x:c r="R57" s="60" t="str">
        <x:f>IF(A57="","",IF(M57=0,0,MIN(P57/M57,1)))</x:f>
      </x:c>
      <x:c r="S57" s="46" t="str">
        <x:f>IF(A57="","",IF(H57="Cancelada","Cancelada",IF(L57=0,"Sin líneas",IF(Q57=0,"Completa",IF(F57&lt;'CONFIGURACIÓN'!$B$7,"Vencida",IF(F57&lt;='CONFIGURACIÓN'!$B$7+'CONFIGURACIÓN'!$B$9,"Próxima a vencer","Abierta"))))))</x:f>
      </x:c>
    </x:row>
    <x:row r="58">
      <x:c r="A58" s="44"/>
      <x:c r="B58" s="51"/>
      <x:c r="C58" s="44"/>
      <x:c r="D58" s="44"/>
      <x:c r="E58" s="44"/>
      <x:c r="F58" s="51"/>
      <x:c r="G58" s="44"/>
      <x:c r="H58" s="44"/>
      <x:c r="I58" s="58"/>
      <x:c r="J58" s="53"/>
      <x:c r="K58" s="44"/>
      <x:c r="L58" s="46" t="str">
        <x:f>IF(A58="","",COUNTIF('LÍNEAS-DE-PEDIDO'!$B$11:$B$210,A58))</x:f>
      </x:c>
      <x:c r="M58" s="59" t="str">
        <x:f>IF(A58="","",SUMIF('LÍNEAS-DE-PEDIDO'!$B$11:$B$210,A58,'LÍNEAS-DE-PEDIDO'!$M$11:$M$210))</x:f>
      </x:c>
      <x:c r="N58" s="59" t="str">
        <x:f>IF(A58="","",M58*I58)</x:f>
      </x:c>
      <x:c r="O58" s="59" t="str">
        <x:f>IF(A58="","",M58+N58+J58)</x:f>
      </x:c>
      <x:c r="P58" s="59" t="str">
        <x:f>IF(A58="","",SUMIF('LÍNEAS-DE-PEDIDO'!$B$11:$B$210,A58,'LÍNEAS-DE-PEDIDO'!$N$11:$N$210))</x:f>
      </x:c>
      <x:c r="Q58" s="59" t="str">
        <x:f>IF(A58="","",IF(H58="Cancelada",0,MAX(M58-P58,0)))</x:f>
      </x:c>
      <x:c r="R58" s="60" t="str">
        <x:f>IF(A58="","",IF(M58=0,0,MIN(P58/M58,1)))</x:f>
      </x:c>
      <x:c r="S58" s="46" t="str">
        <x:f>IF(A58="","",IF(H58="Cancelada","Cancelada",IF(L58=0,"Sin líneas",IF(Q58=0,"Completa",IF(F58&lt;'CONFIGURACIÓN'!$B$7,"Vencida",IF(F58&lt;='CONFIGURACIÓN'!$B$7+'CONFIGURACIÓN'!$B$9,"Próxima a vencer","Abierta"))))))</x:f>
      </x:c>
    </x:row>
    <x:row r="59">
      <x:c r="A59" s="44"/>
      <x:c r="B59" s="51"/>
      <x:c r="C59" s="44"/>
      <x:c r="D59" s="44"/>
      <x:c r="E59" s="44"/>
      <x:c r="F59" s="51"/>
      <x:c r="G59" s="44"/>
      <x:c r="H59" s="44"/>
      <x:c r="I59" s="58"/>
      <x:c r="J59" s="53"/>
      <x:c r="K59" s="44"/>
      <x:c r="L59" s="46" t="str">
        <x:f>IF(A59="","",COUNTIF('LÍNEAS-DE-PEDIDO'!$B$11:$B$210,A59))</x:f>
      </x:c>
      <x:c r="M59" s="59" t="str">
        <x:f>IF(A59="","",SUMIF('LÍNEAS-DE-PEDIDO'!$B$11:$B$210,A59,'LÍNEAS-DE-PEDIDO'!$M$11:$M$210))</x:f>
      </x:c>
      <x:c r="N59" s="59" t="str">
        <x:f>IF(A59="","",M59*I59)</x:f>
      </x:c>
      <x:c r="O59" s="59" t="str">
        <x:f>IF(A59="","",M59+N59+J59)</x:f>
      </x:c>
      <x:c r="P59" s="59" t="str">
        <x:f>IF(A59="","",SUMIF('LÍNEAS-DE-PEDIDO'!$B$11:$B$210,A59,'LÍNEAS-DE-PEDIDO'!$N$11:$N$210))</x:f>
      </x:c>
      <x:c r="Q59" s="59" t="str">
        <x:f>IF(A59="","",IF(H59="Cancelada",0,MAX(M59-P59,0)))</x:f>
      </x:c>
      <x:c r="R59" s="60" t="str">
        <x:f>IF(A59="","",IF(M59=0,0,MIN(P59/M59,1)))</x:f>
      </x:c>
      <x:c r="S59" s="46" t="str">
        <x:f>IF(A59="","",IF(H59="Cancelada","Cancelada",IF(L59=0,"Sin líneas",IF(Q59=0,"Completa",IF(F59&lt;'CONFIGURACIÓN'!$B$7,"Vencida",IF(F59&lt;='CONFIGURACIÓN'!$B$7+'CONFIGURACIÓN'!$B$9,"Próxima a vencer","Abierta"))))))</x:f>
      </x:c>
    </x:row>
    <x:row r="60">
      <x:c r="A60" s="44"/>
      <x:c r="B60" s="51"/>
      <x:c r="C60" s="44"/>
      <x:c r="D60" s="44"/>
      <x:c r="E60" s="44"/>
      <x:c r="F60" s="51"/>
      <x:c r="G60" s="44"/>
      <x:c r="H60" s="44"/>
      <x:c r="I60" s="58"/>
      <x:c r="J60" s="53"/>
      <x:c r="K60" s="44"/>
      <x:c r="L60" s="46" t="str">
        <x:f>IF(A60="","",COUNTIF('LÍNEAS-DE-PEDIDO'!$B$11:$B$210,A60))</x:f>
      </x:c>
      <x:c r="M60" s="59" t="str">
        <x:f>IF(A60="","",SUMIF('LÍNEAS-DE-PEDIDO'!$B$11:$B$210,A60,'LÍNEAS-DE-PEDIDO'!$M$11:$M$210))</x:f>
      </x:c>
      <x:c r="N60" s="59" t="str">
        <x:f>IF(A60="","",M60*I60)</x:f>
      </x:c>
      <x:c r="O60" s="59" t="str">
        <x:f>IF(A60="","",M60+N60+J60)</x:f>
      </x:c>
      <x:c r="P60" s="59" t="str">
        <x:f>IF(A60="","",SUMIF('LÍNEAS-DE-PEDIDO'!$B$11:$B$210,A60,'LÍNEAS-DE-PEDIDO'!$N$11:$N$210))</x:f>
      </x:c>
      <x:c r="Q60" s="59" t="str">
        <x:f>IF(A60="","",IF(H60="Cancelada",0,MAX(M60-P60,0)))</x:f>
      </x:c>
      <x:c r="R60" s="60" t="str">
        <x:f>IF(A60="","",IF(M60=0,0,MIN(P60/M60,1)))</x:f>
      </x:c>
      <x:c r="S60" s="46" t="str">
        <x:f>IF(A60="","",IF(H60="Cancelada","Cancelada",IF(L60=0,"Sin líneas",IF(Q60=0,"Completa",IF(F60&lt;'CONFIGURACIÓN'!$B$7,"Vencida",IF(F60&lt;='CONFIGURACIÓN'!$B$7+'CONFIGURACIÓN'!$B$9,"Próxima a vencer","Abierta"))))))</x:f>
      </x:c>
    </x:row>
    <x:row r="61">
      <x:c r="A61" s="44"/>
      <x:c r="B61" s="51"/>
      <x:c r="C61" s="44"/>
      <x:c r="D61" s="44"/>
      <x:c r="E61" s="44"/>
      <x:c r="F61" s="51"/>
      <x:c r="G61" s="44"/>
      <x:c r="H61" s="44"/>
      <x:c r="I61" s="58"/>
      <x:c r="J61" s="53"/>
      <x:c r="K61" s="44"/>
      <x:c r="L61" s="46" t="str">
        <x:f>IF(A61="","",COUNTIF('LÍNEAS-DE-PEDIDO'!$B$11:$B$210,A61))</x:f>
      </x:c>
      <x:c r="M61" s="59" t="str">
        <x:f>IF(A61="","",SUMIF('LÍNEAS-DE-PEDIDO'!$B$11:$B$210,A61,'LÍNEAS-DE-PEDIDO'!$M$11:$M$210))</x:f>
      </x:c>
      <x:c r="N61" s="59" t="str">
        <x:f>IF(A61="","",M61*I61)</x:f>
      </x:c>
      <x:c r="O61" s="59" t="str">
        <x:f>IF(A61="","",M61+N61+J61)</x:f>
      </x:c>
      <x:c r="P61" s="59" t="str">
        <x:f>IF(A61="","",SUMIF('LÍNEAS-DE-PEDIDO'!$B$11:$B$210,A61,'LÍNEAS-DE-PEDIDO'!$N$11:$N$210))</x:f>
      </x:c>
      <x:c r="Q61" s="59" t="str">
        <x:f>IF(A61="","",IF(H61="Cancelada",0,MAX(M61-P61,0)))</x:f>
      </x:c>
      <x:c r="R61" s="60" t="str">
        <x:f>IF(A61="","",IF(M61=0,0,MIN(P61/M61,1)))</x:f>
      </x:c>
      <x:c r="S61" s="46" t="str">
        <x:f>IF(A61="","",IF(H61="Cancelada","Cancelada",IF(L61=0,"Sin líneas",IF(Q61=0,"Completa",IF(F61&lt;'CONFIGURACIÓN'!$B$7,"Vencida",IF(F61&lt;='CONFIGURACIÓN'!$B$7+'CONFIGURACIÓN'!$B$9,"Próxima a vencer","Abierta"))))))</x:f>
      </x:c>
    </x:row>
    <x:row r="62">
      <x:c r="A62" s="44"/>
      <x:c r="B62" s="51"/>
      <x:c r="C62" s="44"/>
      <x:c r="D62" s="44"/>
      <x:c r="E62" s="44"/>
      <x:c r="F62" s="51"/>
      <x:c r="G62" s="44"/>
      <x:c r="H62" s="44"/>
      <x:c r="I62" s="58"/>
      <x:c r="J62" s="53"/>
      <x:c r="K62" s="44"/>
      <x:c r="L62" s="46" t="str">
        <x:f>IF(A62="","",COUNTIF('LÍNEAS-DE-PEDIDO'!$B$11:$B$210,A62))</x:f>
      </x:c>
      <x:c r="M62" s="59" t="str">
        <x:f>IF(A62="","",SUMIF('LÍNEAS-DE-PEDIDO'!$B$11:$B$210,A62,'LÍNEAS-DE-PEDIDO'!$M$11:$M$210))</x:f>
      </x:c>
      <x:c r="N62" s="59" t="str">
        <x:f>IF(A62="","",M62*I62)</x:f>
      </x:c>
      <x:c r="O62" s="59" t="str">
        <x:f>IF(A62="","",M62+N62+J62)</x:f>
      </x:c>
      <x:c r="P62" s="59" t="str">
        <x:f>IF(A62="","",SUMIF('LÍNEAS-DE-PEDIDO'!$B$11:$B$210,A62,'LÍNEAS-DE-PEDIDO'!$N$11:$N$210))</x:f>
      </x:c>
      <x:c r="Q62" s="59" t="str">
        <x:f>IF(A62="","",IF(H62="Cancelada",0,MAX(M62-P62,0)))</x:f>
      </x:c>
      <x:c r="R62" s="60" t="str">
        <x:f>IF(A62="","",IF(M62=0,0,MIN(P62/M62,1)))</x:f>
      </x:c>
      <x:c r="S62" s="46" t="str">
        <x:f>IF(A62="","",IF(H62="Cancelada","Cancelada",IF(L62=0,"Sin líneas",IF(Q62=0,"Completa",IF(F62&lt;'CONFIGURACIÓN'!$B$7,"Vencida",IF(F62&lt;='CONFIGURACIÓN'!$B$7+'CONFIGURACIÓN'!$B$9,"Próxima a vencer","Abierta"))))))</x:f>
      </x:c>
    </x:row>
    <x:row r="63">
      <x:c r="A63" s="44"/>
      <x:c r="B63" s="51"/>
      <x:c r="C63" s="44"/>
      <x:c r="D63" s="44"/>
      <x:c r="E63" s="44"/>
      <x:c r="F63" s="51"/>
      <x:c r="G63" s="44"/>
      <x:c r="H63" s="44"/>
      <x:c r="I63" s="58"/>
      <x:c r="J63" s="53"/>
      <x:c r="K63" s="44"/>
      <x:c r="L63" s="46" t="str">
        <x:f>IF(A63="","",COUNTIF('LÍNEAS-DE-PEDIDO'!$B$11:$B$210,A63))</x:f>
      </x:c>
      <x:c r="M63" s="59" t="str">
        <x:f>IF(A63="","",SUMIF('LÍNEAS-DE-PEDIDO'!$B$11:$B$210,A63,'LÍNEAS-DE-PEDIDO'!$M$11:$M$210))</x:f>
      </x:c>
      <x:c r="N63" s="59" t="str">
        <x:f>IF(A63="","",M63*I63)</x:f>
      </x:c>
      <x:c r="O63" s="59" t="str">
        <x:f>IF(A63="","",M63+N63+J63)</x:f>
      </x:c>
      <x:c r="P63" s="59" t="str">
        <x:f>IF(A63="","",SUMIF('LÍNEAS-DE-PEDIDO'!$B$11:$B$210,A63,'LÍNEAS-DE-PEDIDO'!$N$11:$N$210))</x:f>
      </x:c>
      <x:c r="Q63" s="59" t="str">
        <x:f>IF(A63="","",IF(H63="Cancelada",0,MAX(M63-P63,0)))</x:f>
      </x:c>
      <x:c r="R63" s="60" t="str">
        <x:f>IF(A63="","",IF(M63=0,0,MIN(P63/M63,1)))</x:f>
      </x:c>
      <x:c r="S63" s="46" t="str">
        <x:f>IF(A63="","",IF(H63="Cancelada","Cancelada",IF(L63=0,"Sin líneas",IF(Q63=0,"Completa",IF(F63&lt;'CONFIGURACIÓN'!$B$7,"Vencida",IF(F63&lt;='CONFIGURACIÓN'!$B$7+'CONFIGURACIÓN'!$B$9,"Próxima a vencer","Abierta"))))))</x:f>
      </x:c>
    </x:row>
    <x:row r="64">
      <x:c r="A64" s="44"/>
      <x:c r="B64" s="51"/>
      <x:c r="C64" s="44"/>
      <x:c r="D64" s="44"/>
      <x:c r="E64" s="44"/>
      <x:c r="F64" s="51"/>
      <x:c r="G64" s="44"/>
      <x:c r="H64" s="44"/>
      <x:c r="I64" s="58"/>
      <x:c r="J64" s="53"/>
      <x:c r="K64" s="44"/>
      <x:c r="L64" s="46" t="str">
        <x:f>IF(A64="","",COUNTIF('LÍNEAS-DE-PEDIDO'!$B$11:$B$210,A64))</x:f>
      </x:c>
      <x:c r="M64" s="59" t="str">
        <x:f>IF(A64="","",SUMIF('LÍNEAS-DE-PEDIDO'!$B$11:$B$210,A64,'LÍNEAS-DE-PEDIDO'!$M$11:$M$210))</x:f>
      </x:c>
      <x:c r="N64" s="59" t="str">
        <x:f>IF(A64="","",M64*I64)</x:f>
      </x:c>
      <x:c r="O64" s="59" t="str">
        <x:f>IF(A64="","",M64+N64+J64)</x:f>
      </x:c>
      <x:c r="P64" s="59" t="str">
        <x:f>IF(A64="","",SUMIF('LÍNEAS-DE-PEDIDO'!$B$11:$B$210,A64,'LÍNEAS-DE-PEDIDO'!$N$11:$N$210))</x:f>
      </x:c>
      <x:c r="Q64" s="59" t="str">
        <x:f>IF(A64="","",IF(H64="Cancelada",0,MAX(M64-P64,0)))</x:f>
      </x:c>
      <x:c r="R64" s="60" t="str">
        <x:f>IF(A64="","",IF(M64=0,0,MIN(P64/M64,1)))</x:f>
      </x:c>
      <x:c r="S64" s="46" t="str">
        <x:f>IF(A64="","",IF(H64="Cancelada","Cancelada",IF(L64=0,"Sin líneas",IF(Q64=0,"Completa",IF(F64&lt;'CONFIGURACIÓN'!$B$7,"Vencida",IF(F64&lt;='CONFIGURACIÓN'!$B$7+'CONFIGURACIÓN'!$B$9,"Próxima a vencer","Abierta"))))))</x:f>
      </x:c>
    </x:row>
    <x:row r="65">
      <x:c r="A65" s="44"/>
      <x:c r="B65" s="51"/>
      <x:c r="C65" s="44"/>
      <x:c r="D65" s="44"/>
      <x:c r="E65" s="44"/>
      <x:c r="F65" s="51"/>
      <x:c r="G65" s="44"/>
      <x:c r="H65" s="44"/>
      <x:c r="I65" s="58"/>
      <x:c r="J65" s="53"/>
      <x:c r="K65" s="44"/>
      <x:c r="L65" s="46" t="str">
        <x:f>IF(A65="","",COUNTIF('LÍNEAS-DE-PEDIDO'!$B$11:$B$210,A65))</x:f>
      </x:c>
      <x:c r="M65" s="59" t="str">
        <x:f>IF(A65="","",SUMIF('LÍNEAS-DE-PEDIDO'!$B$11:$B$210,A65,'LÍNEAS-DE-PEDIDO'!$M$11:$M$210))</x:f>
      </x:c>
      <x:c r="N65" s="59" t="str">
        <x:f>IF(A65="","",M65*I65)</x:f>
      </x:c>
      <x:c r="O65" s="59" t="str">
        <x:f>IF(A65="","",M65+N65+J65)</x:f>
      </x:c>
      <x:c r="P65" s="59" t="str">
        <x:f>IF(A65="","",SUMIF('LÍNEAS-DE-PEDIDO'!$B$11:$B$210,A65,'LÍNEAS-DE-PEDIDO'!$N$11:$N$210))</x:f>
      </x:c>
      <x:c r="Q65" s="59" t="str">
        <x:f>IF(A65="","",IF(H65="Cancelada",0,MAX(M65-P65,0)))</x:f>
      </x:c>
      <x:c r="R65" s="60" t="str">
        <x:f>IF(A65="","",IF(M65=0,0,MIN(P65/M65,1)))</x:f>
      </x:c>
      <x:c r="S65" s="46" t="str">
        <x:f>IF(A65="","",IF(H65="Cancelada","Cancelada",IF(L65=0,"Sin líneas",IF(Q65=0,"Completa",IF(F65&lt;'CONFIGURACIÓN'!$B$7,"Vencida",IF(F65&lt;='CONFIGURACIÓN'!$B$7+'CONFIGURACIÓN'!$B$9,"Próxima a vencer","Abierta"))))))</x:f>
      </x:c>
    </x:row>
    <x:row r="66">
      <x:c r="A66" s="44"/>
      <x:c r="B66" s="51"/>
      <x:c r="C66" s="44"/>
      <x:c r="D66" s="44"/>
      <x:c r="E66" s="44"/>
      <x:c r="F66" s="51"/>
      <x:c r="G66" s="44"/>
      <x:c r="H66" s="44"/>
      <x:c r="I66" s="58"/>
      <x:c r="J66" s="53"/>
      <x:c r="K66" s="44"/>
      <x:c r="L66" s="46" t="str">
        <x:f>IF(A66="","",COUNTIF('LÍNEAS-DE-PEDIDO'!$B$11:$B$210,A66))</x:f>
      </x:c>
      <x:c r="M66" s="59" t="str">
        <x:f>IF(A66="","",SUMIF('LÍNEAS-DE-PEDIDO'!$B$11:$B$210,A66,'LÍNEAS-DE-PEDIDO'!$M$11:$M$210))</x:f>
      </x:c>
      <x:c r="N66" s="59" t="str">
        <x:f>IF(A66="","",M66*I66)</x:f>
      </x:c>
      <x:c r="O66" s="59" t="str">
        <x:f>IF(A66="","",M66+N66+J66)</x:f>
      </x:c>
      <x:c r="P66" s="59" t="str">
        <x:f>IF(A66="","",SUMIF('LÍNEAS-DE-PEDIDO'!$B$11:$B$210,A66,'LÍNEAS-DE-PEDIDO'!$N$11:$N$210))</x:f>
      </x:c>
      <x:c r="Q66" s="59" t="str">
        <x:f>IF(A66="","",IF(H66="Cancelada",0,MAX(M66-P66,0)))</x:f>
      </x:c>
      <x:c r="R66" s="60" t="str">
        <x:f>IF(A66="","",IF(M66=0,0,MIN(P66/M66,1)))</x:f>
      </x:c>
      <x:c r="S66" s="46" t="str">
        <x:f>IF(A66="","",IF(H66="Cancelada","Cancelada",IF(L66=0,"Sin líneas",IF(Q66=0,"Completa",IF(F66&lt;'CONFIGURACIÓN'!$B$7,"Vencida",IF(F66&lt;='CONFIGURACIÓN'!$B$7+'CONFIGURACIÓN'!$B$9,"Próxima a vencer","Abierta"))))))</x:f>
      </x:c>
    </x:row>
    <x:row r="67">
      <x:c r="A67" s="44"/>
      <x:c r="B67" s="51"/>
      <x:c r="C67" s="44"/>
      <x:c r="D67" s="44"/>
      <x:c r="E67" s="44"/>
      <x:c r="F67" s="51"/>
      <x:c r="G67" s="44"/>
      <x:c r="H67" s="44"/>
      <x:c r="I67" s="58"/>
      <x:c r="J67" s="53"/>
      <x:c r="K67" s="44"/>
      <x:c r="L67" s="46" t="str">
        <x:f>IF(A67="","",COUNTIF('LÍNEAS-DE-PEDIDO'!$B$11:$B$210,A67))</x:f>
      </x:c>
      <x:c r="M67" s="59" t="str">
        <x:f>IF(A67="","",SUMIF('LÍNEAS-DE-PEDIDO'!$B$11:$B$210,A67,'LÍNEAS-DE-PEDIDO'!$M$11:$M$210))</x:f>
      </x:c>
      <x:c r="N67" s="59" t="str">
        <x:f>IF(A67="","",M67*I67)</x:f>
      </x:c>
      <x:c r="O67" s="59" t="str">
        <x:f>IF(A67="","",M67+N67+J67)</x:f>
      </x:c>
      <x:c r="P67" s="59" t="str">
        <x:f>IF(A67="","",SUMIF('LÍNEAS-DE-PEDIDO'!$B$11:$B$210,A67,'LÍNEAS-DE-PEDIDO'!$N$11:$N$210))</x:f>
      </x:c>
      <x:c r="Q67" s="59" t="str">
        <x:f>IF(A67="","",IF(H67="Cancelada",0,MAX(M67-P67,0)))</x:f>
      </x:c>
      <x:c r="R67" s="60" t="str">
        <x:f>IF(A67="","",IF(M67=0,0,MIN(P67/M67,1)))</x:f>
      </x:c>
      <x:c r="S67" s="46" t="str">
        <x:f>IF(A67="","",IF(H67="Cancelada","Cancelada",IF(L67=0,"Sin líneas",IF(Q67=0,"Completa",IF(F67&lt;'CONFIGURACIÓN'!$B$7,"Vencida",IF(F67&lt;='CONFIGURACIÓN'!$B$7+'CONFIGURACIÓN'!$B$9,"Próxima a vencer","Abierta"))))))</x:f>
      </x:c>
    </x:row>
    <x:row r="68">
      <x:c r="A68" s="44"/>
      <x:c r="B68" s="51"/>
      <x:c r="C68" s="44"/>
      <x:c r="D68" s="44"/>
      <x:c r="E68" s="44"/>
      <x:c r="F68" s="51"/>
      <x:c r="G68" s="44"/>
      <x:c r="H68" s="44"/>
      <x:c r="I68" s="58"/>
      <x:c r="J68" s="53"/>
      <x:c r="K68" s="44"/>
      <x:c r="L68" s="46" t="str">
        <x:f>IF(A68="","",COUNTIF('LÍNEAS-DE-PEDIDO'!$B$11:$B$210,A68))</x:f>
      </x:c>
      <x:c r="M68" s="59" t="str">
        <x:f>IF(A68="","",SUMIF('LÍNEAS-DE-PEDIDO'!$B$11:$B$210,A68,'LÍNEAS-DE-PEDIDO'!$M$11:$M$210))</x:f>
      </x:c>
      <x:c r="N68" s="59" t="str">
        <x:f>IF(A68="","",M68*I68)</x:f>
      </x:c>
      <x:c r="O68" s="59" t="str">
        <x:f>IF(A68="","",M68+N68+J68)</x:f>
      </x:c>
      <x:c r="P68" s="59" t="str">
        <x:f>IF(A68="","",SUMIF('LÍNEAS-DE-PEDIDO'!$B$11:$B$210,A68,'LÍNEAS-DE-PEDIDO'!$N$11:$N$210))</x:f>
      </x:c>
      <x:c r="Q68" s="59" t="str">
        <x:f>IF(A68="","",IF(H68="Cancelada",0,MAX(M68-P68,0)))</x:f>
      </x:c>
      <x:c r="R68" s="60" t="str">
        <x:f>IF(A68="","",IF(M68=0,0,MIN(P68/M68,1)))</x:f>
      </x:c>
      <x:c r="S68" s="46" t="str">
        <x:f>IF(A68="","",IF(H68="Cancelada","Cancelada",IF(L68=0,"Sin líneas",IF(Q68=0,"Completa",IF(F68&lt;'CONFIGURACIÓN'!$B$7,"Vencida",IF(F68&lt;='CONFIGURACIÓN'!$B$7+'CONFIGURACIÓN'!$B$9,"Próxima a vencer","Abierta"))))))</x:f>
      </x:c>
    </x:row>
    <x:row r="69">
      <x:c r="A69" s="44"/>
      <x:c r="B69" s="51"/>
      <x:c r="C69" s="44"/>
      <x:c r="D69" s="44"/>
      <x:c r="E69" s="44"/>
      <x:c r="F69" s="51"/>
      <x:c r="G69" s="44"/>
      <x:c r="H69" s="44"/>
      <x:c r="I69" s="58"/>
      <x:c r="J69" s="53"/>
      <x:c r="K69" s="44"/>
      <x:c r="L69" s="46" t="str">
        <x:f>IF(A69="","",COUNTIF('LÍNEAS-DE-PEDIDO'!$B$11:$B$210,A69))</x:f>
      </x:c>
      <x:c r="M69" s="59" t="str">
        <x:f>IF(A69="","",SUMIF('LÍNEAS-DE-PEDIDO'!$B$11:$B$210,A69,'LÍNEAS-DE-PEDIDO'!$M$11:$M$210))</x:f>
      </x:c>
      <x:c r="N69" s="59" t="str">
        <x:f>IF(A69="","",M69*I69)</x:f>
      </x:c>
      <x:c r="O69" s="59" t="str">
        <x:f>IF(A69="","",M69+N69+J69)</x:f>
      </x:c>
      <x:c r="P69" s="59" t="str">
        <x:f>IF(A69="","",SUMIF('LÍNEAS-DE-PEDIDO'!$B$11:$B$210,A69,'LÍNEAS-DE-PEDIDO'!$N$11:$N$210))</x:f>
      </x:c>
      <x:c r="Q69" s="59" t="str">
        <x:f>IF(A69="","",IF(H69="Cancelada",0,MAX(M69-P69,0)))</x:f>
      </x:c>
      <x:c r="R69" s="60" t="str">
        <x:f>IF(A69="","",IF(M69=0,0,MIN(P69/M69,1)))</x:f>
      </x:c>
      <x:c r="S69" s="46" t="str">
        <x:f>IF(A69="","",IF(H69="Cancelada","Cancelada",IF(L69=0,"Sin líneas",IF(Q69=0,"Completa",IF(F69&lt;'CONFIGURACIÓN'!$B$7,"Vencida",IF(F69&lt;='CONFIGURACIÓN'!$B$7+'CONFIGURACIÓN'!$B$9,"Próxima a vencer","Abierta"))))))</x:f>
      </x:c>
    </x:row>
    <x:row r="70">
      <x:c r="A70" s="44"/>
      <x:c r="B70" s="51"/>
      <x:c r="C70" s="44"/>
      <x:c r="D70" s="44"/>
      <x:c r="E70" s="44"/>
      <x:c r="F70" s="51"/>
      <x:c r="G70" s="44"/>
      <x:c r="H70" s="44"/>
      <x:c r="I70" s="58"/>
      <x:c r="J70" s="53"/>
      <x:c r="K70" s="44"/>
      <x:c r="L70" s="46" t="str">
        <x:f>IF(A70="","",COUNTIF('LÍNEAS-DE-PEDIDO'!$B$11:$B$210,A70))</x:f>
      </x:c>
      <x:c r="M70" s="59" t="str">
        <x:f>IF(A70="","",SUMIF('LÍNEAS-DE-PEDIDO'!$B$11:$B$210,A70,'LÍNEAS-DE-PEDIDO'!$M$11:$M$210))</x:f>
      </x:c>
      <x:c r="N70" s="59" t="str">
        <x:f>IF(A70="","",M70*I70)</x:f>
      </x:c>
      <x:c r="O70" s="59" t="str">
        <x:f>IF(A70="","",M70+N70+J70)</x:f>
      </x:c>
      <x:c r="P70" s="59" t="str">
        <x:f>IF(A70="","",SUMIF('LÍNEAS-DE-PEDIDO'!$B$11:$B$210,A70,'LÍNEAS-DE-PEDIDO'!$N$11:$N$210))</x:f>
      </x:c>
      <x:c r="Q70" s="59" t="str">
        <x:f>IF(A70="","",IF(H70="Cancelada",0,MAX(M70-P70,0)))</x:f>
      </x:c>
      <x:c r="R70" s="60" t="str">
        <x:f>IF(A70="","",IF(M70=0,0,MIN(P70/M70,1)))</x:f>
      </x:c>
      <x:c r="S70" s="46" t="str">
        <x:f>IF(A70="","",IF(H70="Cancelada","Cancelada",IF(L70=0,"Sin líneas",IF(Q70=0,"Completa",IF(F70&lt;'CONFIGURACIÓN'!$B$7,"Vencida",IF(F70&lt;='CONFIGURACIÓN'!$B$7+'CONFIGURACIÓN'!$B$9,"Próxima a vencer","Abierta"))))))</x:f>
      </x:c>
    </x:row>
    <x:row r="71">
      <x:c r="A71" s="44"/>
      <x:c r="B71" s="51"/>
      <x:c r="C71" s="44"/>
      <x:c r="D71" s="44"/>
      <x:c r="E71" s="44"/>
      <x:c r="F71" s="51"/>
      <x:c r="G71" s="44"/>
      <x:c r="H71" s="44"/>
      <x:c r="I71" s="58"/>
      <x:c r="J71" s="53"/>
      <x:c r="K71" s="44"/>
      <x:c r="L71" s="46" t="str">
        <x:f>IF(A71="","",COUNTIF('LÍNEAS-DE-PEDIDO'!$B$11:$B$210,A71))</x:f>
      </x:c>
      <x:c r="M71" s="59" t="str">
        <x:f>IF(A71="","",SUMIF('LÍNEAS-DE-PEDIDO'!$B$11:$B$210,A71,'LÍNEAS-DE-PEDIDO'!$M$11:$M$210))</x:f>
      </x:c>
      <x:c r="N71" s="59" t="str">
        <x:f>IF(A71="","",M71*I71)</x:f>
      </x:c>
      <x:c r="O71" s="59" t="str">
        <x:f>IF(A71="","",M71+N71+J71)</x:f>
      </x:c>
      <x:c r="P71" s="59" t="str">
        <x:f>IF(A71="","",SUMIF('LÍNEAS-DE-PEDIDO'!$B$11:$B$210,A71,'LÍNEAS-DE-PEDIDO'!$N$11:$N$210))</x:f>
      </x:c>
      <x:c r="Q71" s="59" t="str">
        <x:f>IF(A71="","",IF(H71="Cancelada",0,MAX(M71-P71,0)))</x:f>
      </x:c>
      <x:c r="R71" s="60" t="str">
        <x:f>IF(A71="","",IF(M71=0,0,MIN(P71/M71,1)))</x:f>
      </x:c>
      <x:c r="S71" s="46" t="str">
        <x:f>IF(A71="","",IF(H71="Cancelada","Cancelada",IF(L71=0,"Sin líneas",IF(Q71=0,"Completa",IF(F71&lt;'CONFIGURACIÓN'!$B$7,"Vencida",IF(F71&lt;='CONFIGURACIÓN'!$B$7+'CONFIGURACIÓN'!$B$9,"Próxima a vencer","Abierta"))))))</x:f>
      </x:c>
    </x:row>
    <x:row r="72">
      <x:c r="A72" s="44"/>
      <x:c r="B72" s="51"/>
      <x:c r="C72" s="44"/>
      <x:c r="D72" s="44"/>
      <x:c r="E72" s="44"/>
      <x:c r="F72" s="51"/>
      <x:c r="G72" s="44"/>
      <x:c r="H72" s="44"/>
      <x:c r="I72" s="58"/>
      <x:c r="J72" s="53"/>
      <x:c r="K72" s="44"/>
      <x:c r="L72" s="46" t="str">
        <x:f>IF(A72="","",COUNTIF('LÍNEAS-DE-PEDIDO'!$B$11:$B$210,A72))</x:f>
      </x:c>
      <x:c r="M72" s="59" t="str">
        <x:f>IF(A72="","",SUMIF('LÍNEAS-DE-PEDIDO'!$B$11:$B$210,A72,'LÍNEAS-DE-PEDIDO'!$M$11:$M$210))</x:f>
      </x:c>
      <x:c r="N72" s="59" t="str">
        <x:f>IF(A72="","",M72*I72)</x:f>
      </x:c>
      <x:c r="O72" s="59" t="str">
        <x:f>IF(A72="","",M72+N72+J72)</x:f>
      </x:c>
      <x:c r="P72" s="59" t="str">
        <x:f>IF(A72="","",SUMIF('LÍNEAS-DE-PEDIDO'!$B$11:$B$210,A72,'LÍNEAS-DE-PEDIDO'!$N$11:$N$210))</x:f>
      </x:c>
      <x:c r="Q72" s="59" t="str">
        <x:f>IF(A72="","",IF(H72="Cancelada",0,MAX(M72-P72,0)))</x:f>
      </x:c>
      <x:c r="R72" s="60" t="str">
        <x:f>IF(A72="","",IF(M72=0,0,MIN(P72/M72,1)))</x:f>
      </x:c>
      <x:c r="S72" s="46" t="str">
        <x:f>IF(A72="","",IF(H72="Cancelada","Cancelada",IF(L72=0,"Sin líneas",IF(Q72=0,"Completa",IF(F72&lt;'CONFIGURACIÓN'!$B$7,"Vencida",IF(F72&lt;='CONFIGURACIÓN'!$B$7+'CONFIGURACIÓN'!$B$9,"Próxima a vencer","Abierta"))))))</x:f>
      </x:c>
    </x:row>
    <x:row r="73">
      <x:c r="A73" s="44"/>
      <x:c r="B73" s="51"/>
      <x:c r="C73" s="44"/>
      <x:c r="D73" s="44"/>
      <x:c r="E73" s="44"/>
      <x:c r="F73" s="51"/>
      <x:c r="G73" s="44"/>
      <x:c r="H73" s="44"/>
      <x:c r="I73" s="58"/>
      <x:c r="J73" s="53"/>
      <x:c r="K73" s="44"/>
      <x:c r="L73" s="46" t="str">
        <x:f>IF(A73="","",COUNTIF('LÍNEAS-DE-PEDIDO'!$B$11:$B$210,A73))</x:f>
      </x:c>
      <x:c r="M73" s="59" t="str">
        <x:f>IF(A73="","",SUMIF('LÍNEAS-DE-PEDIDO'!$B$11:$B$210,A73,'LÍNEAS-DE-PEDIDO'!$M$11:$M$210))</x:f>
      </x:c>
      <x:c r="N73" s="59" t="str">
        <x:f>IF(A73="","",M73*I73)</x:f>
      </x:c>
      <x:c r="O73" s="59" t="str">
        <x:f>IF(A73="","",M73+N73+J73)</x:f>
      </x:c>
      <x:c r="P73" s="59" t="str">
        <x:f>IF(A73="","",SUMIF('LÍNEAS-DE-PEDIDO'!$B$11:$B$210,A73,'LÍNEAS-DE-PEDIDO'!$N$11:$N$210))</x:f>
      </x:c>
      <x:c r="Q73" s="59" t="str">
        <x:f>IF(A73="","",IF(H73="Cancelada",0,MAX(M73-P73,0)))</x:f>
      </x:c>
      <x:c r="R73" s="60" t="str">
        <x:f>IF(A73="","",IF(M73=0,0,MIN(P73/M73,1)))</x:f>
      </x:c>
      <x:c r="S73" s="46" t="str">
        <x:f>IF(A73="","",IF(H73="Cancelada","Cancelada",IF(L73=0,"Sin líneas",IF(Q73=0,"Completa",IF(F73&lt;'CONFIGURACIÓN'!$B$7,"Vencida",IF(F73&lt;='CONFIGURACIÓN'!$B$7+'CONFIGURACIÓN'!$B$9,"Próxima a vencer","Abierta"))))))</x:f>
      </x:c>
    </x:row>
    <x:row r="74">
      <x:c r="A74" s="44"/>
      <x:c r="B74" s="51"/>
      <x:c r="C74" s="44"/>
      <x:c r="D74" s="44"/>
      <x:c r="E74" s="44"/>
      <x:c r="F74" s="51"/>
      <x:c r="G74" s="44"/>
      <x:c r="H74" s="44"/>
      <x:c r="I74" s="58"/>
      <x:c r="J74" s="53"/>
      <x:c r="K74" s="44"/>
      <x:c r="L74" s="46" t="str">
        <x:f>IF(A74="","",COUNTIF('LÍNEAS-DE-PEDIDO'!$B$11:$B$210,A74))</x:f>
      </x:c>
      <x:c r="M74" s="59" t="str">
        <x:f>IF(A74="","",SUMIF('LÍNEAS-DE-PEDIDO'!$B$11:$B$210,A74,'LÍNEAS-DE-PEDIDO'!$M$11:$M$210))</x:f>
      </x:c>
      <x:c r="N74" s="59" t="str">
        <x:f>IF(A74="","",M74*I74)</x:f>
      </x:c>
      <x:c r="O74" s="59" t="str">
        <x:f>IF(A74="","",M74+N74+J74)</x:f>
      </x:c>
      <x:c r="P74" s="59" t="str">
        <x:f>IF(A74="","",SUMIF('LÍNEAS-DE-PEDIDO'!$B$11:$B$210,A74,'LÍNEAS-DE-PEDIDO'!$N$11:$N$210))</x:f>
      </x:c>
      <x:c r="Q74" s="59" t="str">
        <x:f>IF(A74="","",IF(H74="Cancelada",0,MAX(M74-P74,0)))</x:f>
      </x:c>
      <x:c r="R74" s="60" t="str">
        <x:f>IF(A74="","",IF(M74=0,0,MIN(P74/M74,1)))</x:f>
      </x:c>
      <x:c r="S74" s="46" t="str">
        <x:f>IF(A74="","",IF(H74="Cancelada","Cancelada",IF(L74=0,"Sin líneas",IF(Q74=0,"Completa",IF(F74&lt;'CONFIGURACIÓN'!$B$7,"Vencida",IF(F74&lt;='CONFIGURACIÓN'!$B$7+'CONFIGURACIÓN'!$B$9,"Próxima a vencer","Abierta"))))))</x:f>
      </x:c>
    </x:row>
    <x:row r="75">
      <x:c r="A75" s="44"/>
      <x:c r="B75" s="51"/>
      <x:c r="C75" s="44"/>
      <x:c r="D75" s="44"/>
      <x:c r="E75" s="44"/>
      <x:c r="F75" s="51"/>
      <x:c r="G75" s="44"/>
      <x:c r="H75" s="44"/>
      <x:c r="I75" s="58"/>
      <x:c r="J75" s="53"/>
      <x:c r="K75" s="44"/>
      <x:c r="L75" s="46" t="str">
        <x:f>IF(A75="","",COUNTIF('LÍNEAS-DE-PEDIDO'!$B$11:$B$210,A75))</x:f>
      </x:c>
      <x:c r="M75" s="59" t="str">
        <x:f>IF(A75="","",SUMIF('LÍNEAS-DE-PEDIDO'!$B$11:$B$210,A75,'LÍNEAS-DE-PEDIDO'!$M$11:$M$210))</x:f>
      </x:c>
      <x:c r="N75" s="59" t="str">
        <x:f>IF(A75="","",M75*I75)</x:f>
      </x:c>
      <x:c r="O75" s="59" t="str">
        <x:f>IF(A75="","",M75+N75+J75)</x:f>
      </x:c>
      <x:c r="P75" s="59" t="str">
        <x:f>IF(A75="","",SUMIF('LÍNEAS-DE-PEDIDO'!$B$11:$B$210,A75,'LÍNEAS-DE-PEDIDO'!$N$11:$N$210))</x:f>
      </x:c>
      <x:c r="Q75" s="59" t="str">
        <x:f>IF(A75="","",IF(H75="Cancelada",0,MAX(M75-P75,0)))</x:f>
      </x:c>
      <x:c r="R75" s="60" t="str">
        <x:f>IF(A75="","",IF(M75=0,0,MIN(P75/M75,1)))</x:f>
      </x:c>
      <x:c r="S75" s="46" t="str">
        <x:f>IF(A75="","",IF(H75="Cancelada","Cancelada",IF(L75=0,"Sin líneas",IF(Q75=0,"Completa",IF(F75&lt;'CONFIGURACIÓN'!$B$7,"Vencida",IF(F75&lt;='CONFIGURACIÓN'!$B$7+'CONFIGURACIÓN'!$B$9,"Próxima a vencer","Abierta"))))))</x:f>
      </x:c>
    </x:row>
    <x:row r="76">
      <x:c r="A76" s="44"/>
      <x:c r="B76" s="51"/>
      <x:c r="C76" s="44"/>
      <x:c r="D76" s="44"/>
      <x:c r="E76" s="44"/>
      <x:c r="F76" s="51"/>
      <x:c r="G76" s="44"/>
      <x:c r="H76" s="44"/>
      <x:c r="I76" s="58"/>
      <x:c r="J76" s="53"/>
      <x:c r="K76" s="44"/>
      <x:c r="L76" s="46" t="str">
        <x:f>IF(A76="","",COUNTIF('LÍNEAS-DE-PEDIDO'!$B$11:$B$210,A76))</x:f>
      </x:c>
      <x:c r="M76" s="59" t="str">
        <x:f>IF(A76="","",SUMIF('LÍNEAS-DE-PEDIDO'!$B$11:$B$210,A76,'LÍNEAS-DE-PEDIDO'!$M$11:$M$210))</x:f>
      </x:c>
      <x:c r="N76" s="59" t="str">
        <x:f>IF(A76="","",M76*I76)</x:f>
      </x:c>
      <x:c r="O76" s="59" t="str">
        <x:f>IF(A76="","",M76+N76+J76)</x:f>
      </x:c>
      <x:c r="P76" s="59" t="str">
        <x:f>IF(A76="","",SUMIF('LÍNEAS-DE-PEDIDO'!$B$11:$B$210,A76,'LÍNEAS-DE-PEDIDO'!$N$11:$N$210))</x:f>
      </x:c>
      <x:c r="Q76" s="59" t="str">
        <x:f>IF(A76="","",IF(H76="Cancelada",0,MAX(M76-P76,0)))</x:f>
      </x:c>
      <x:c r="R76" s="60" t="str">
        <x:f>IF(A76="","",IF(M76=0,0,MIN(P76/M76,1)))</x:f>
      </x:c>
      <x:c r="S76" s="46" t="str">
        <x:f>IF(A76="","",IF(H76="Cancelada","Cancelada",IF(L76=0,"Sin líneas",IF(Q76=0,"Completa",IF(F76&lt;'CONFIGURACIÓN'!$B$7,"Vencida",IF(F76&lt;='CONFIGURACIÓN'!$B$7+'CONFIGURACIÓN'!$B$9,"Próxima a vencer","Abierta"))))))</x:f>
      </x:c>
    </x:row>
    <x:row r="77">
      <x:c r="A77" s="44"/>
      <x:c r="B77" s="51"/>
      <x:c r="C77" s="44"/>
      <x:c r="D77" s="44"/>
      <x:c r="E77" s="44"/>
      <x:c r="F77" s="51"/>
      <x:c r="G77" s="44"/>
      <x:c r="H77" s="44"/>
      <x:c r="I77" s="58"/>
      <x:c r="J77" s="53"/>
      <x:c r="K77" s="44"/>
      <x:c r="L77" s="46" t="str">
        <x:f>IF(A77="","",COUNTIF('LÍNEAS-DE-PEDIDO'!$B$11:$B$210,A77))</x:f>
      </x:c>
      <x:c r="M77" s="59" t="str">
        <x:f>IF(A77="","",SUMIF('LÍNEAS-DE-PEDIDO'!$B$11:$B$210,A77,'LÍNEAS-DE-PEDIDO'!$M$11:$M$210))</x:f>
      </x:c>
      <x:c r="N77" s="59" t="str">
        <x:f>IF(A77="","",M77*I77)</x:f>
      </x:c>
      <x:c r="O77" s="59" t="str">
        <x:f>IF(A77="","",M77+N77+J77)</x:f>
      </x:c>
      <x:c r="P77" s="59" t="str">
        <x:f>IF(A77="","",SUMIF('LÍNEAS-DE-PEDIDO'!$B$11:$B$210,A77,'LÍNEAS-DE-PEDIDO'!$N$11:$N$210))</x:f>
      </x:c>
      <x:c r="Q77" s="59" t="str">
        <x:f>IF(A77="","",IF(H77="Cancelada",0,MAX(M77-P77,0)))</x:f>
      </x:c>
      <x:c r="R77" s="60" t="str">
        <x:f>IF(A77="","",IF(M77=0,0,MIN(P77/M77,1)))</x:f>
      </x:c>
      <x:c r="S77" s="46" t="str">
        <x:f>IF(A77="","",IF(H77="Cancelada","Cancelada",IF(L77=0,"Sin líneas",IF(Q77=0,"Completa",IF(F77&lt;'CONFIGURACIÓN'!$B$7,"Vencida",IF(F77&lt;='CONFIGURACIÓN'!$B$7+'CONFIGURACIÓN'!$B$9,"Próxima a vencer","Abierta"))))))</x:f>
      </x:c>
    </x:row>
    <x:row r="78">
      <x:c r="A78" s="44"/>
      <x:c r="B78" s="51"/>
      <x:c r="C78" s="44"/>
      <x:c r="D78" s="44"/>
      <x:c r="E78" s="44"/>
      <x:c r="F78" s="51"/>
      <x:c r="G78" s="44"/>
      <x:c r="H78" s="44"/>
      <x:c r="I78" s="58"/>
      <x:c r="J78" s="53"/>
      <x:c r="K78" s="44"/>
      <x:c r="L78" s="46" t="str">
        <x:f>IF(A78="","",COUNTIF('LÍNEAS-DE-PEDIDO'!$B$11:$B$210,A78))</x:f>
      </x:c>
      <x:c r="M78" s="59" t="str">
        <x:f>IF(A78="","",SUMIF('LÍNEAS-DE-PEDIDO'!$B$11:$B$210,A78,'LÍNEAS-DE-PEDIDO'!$M$11:$M$210))</x:f>
      </x:c>
      <x:c r="N78" s="59" t="str">
        <x:f>IF(A78="","",M78*I78)</x:f>
      </x:c>
      <x:c r="O78" s="59" t="str">
        <x:f>IF(A78="","",M78+N78+J78)</x:f>
      </x:c>
      <x:c r="P78" s="59" t="str">
        <x:f>IF(A78="","",SUMIF('LÍNEAS-DE-PEDIDO'!$B$11:$B$210,A78,'LÍNEAS-DE-PEDIDO'!$N$11:$N$210))</x:f>
      </x:c>
      <x:c r="Q78" s="59" t="str">
        <x:f>IF(A78="","",IF(H78="Cancelada",0,MAX(M78-P78,0)))</x:f>
      </x:c>
      <x:c r="R78" s="60" t="str">
        <x:f>IF(A78="","",IF(M78=0,0,MIN(P78/M78,1)))</x:f>
      </x:c>
      <x:c r="S78" s="46" t="str">
        <x:f>IF(A78="","",IF(H78="Cancelada","Cancelada",IF(L78=0,"Sin líneas",IF(Q78=0,"Completa",IF(F78&lt;'CONFIGURACIÓN'!$B$7,"Vencida",IF(F78&lt;='CONFIGURACIÓN'!$B$7+'CONFIGURACIÓN'!$B$9,"Próxima a vencer","Abierta"))))))</x:f>
      </x:c>
    </x:row>
    <x:row r="79">
      <x:c r="A79" s="44"/>
      <x:c r="B79" s="51"/>
      <x:c r="C79" s="44"/>
      <x:c r="D79" s="44"/>
      <x:c r="E79" s="44"/>
      <x:c r="F79" s="51"/>
      <x:c r="G79" s="44"/>
      <x:c r="H79" s="44"/>
      <x:c r="I79" s="58"/>
      <x:c r="J79" s="53"/>
      <x:c r="K79" s="44"/>
      <x:c r="L79" s="46" t="str">
        <x:f>IF(A79="","",COUNTIF('LÍNEAS-DE-PEDIDO'!$B$11:$B$210,A79))</x:f>
      </x:c>
      <x:c r="M79" s="59" t="str">
        <x:f>IF(A79="","",SUMIF('LÍNEAS-DE-PEDIDO'!$B$11:$B$210,A79,'LÍNEAS-DE-PEDIDO'!$M$11:$M$210))</x:f>
      </x:c>
      <x:c r="N79" s="59" t="str">
        <x:f>IF(A79="","",M79*I79)</x:f>
      </x:c>
      <x:c r="O79" s="59" t="str">
        <x:f>IF(A79="","",M79+N79+J79)</x:f>
      </x:c>
      <x:c r="P79" s="59" t="str">
        <x:f>IF(A79="","",SUMIF('LÍNEAS-DE-PEDIDO'!$B$11:$B$210,A79,'LÍNEAS-DE-PEDIDO'!$N$11:$N$210))</x:f>
      </x:c>
      <x:c r="Q79" s="59" t="str">
        <x:f>IF(A79="","",IF(H79="Cancelada",0,MAX(M79-P79,0)))</x:f>
      </x:c>
      <x:c r="R79" s="60" t="str">
        <x:f>IF(A79="","",IF(M79=0,0,MIN(P79/M79,1)))</x:f>
      </x:c>
      <x:c r="S79" s="46" t="str">
        <x:f>IF(A79="","",IF(H79="Cancelada","Cancelada",IF(L79=0,"Sin líneas",IF(Q79=0,"Completa",IF(F79&lt;'CONFIGURACIÓN'!$B$7,"Vencida",IF(F79&lt;='CONFIGURACIÓN'!$B$7+'CONFIGURACIÓN'!$B$9,"Próxima a vencer","Abierta"))))))</x:f>
      </x:c>
    </x:row>
    <x:row r="80">
      <x:c r="A80" s="44"/>
      <x:c r="B80" s="51"/>
      <x:c r="C80" s="44"/>
      <x:c r="D80" s="44"/>
      <x:c r="E80" s="44"/>
      <x:c r="F80" s="51"/>
      <x:c r="G80" s="44"/>
      <x:c r="H80" s="44"/>
      <x:c r="I80" s="58"/>
      <x:c r="J80" s="53"/>
      <x:c r="K80" s="44"/>
      <x:c r="L80" s="46" t="str">
        <x:f>IF(A80="","",COUNTIF('LÍNEAS-DE-PEDIDO'!$B$11:$B$210,A80))</x:f>
      </x:c>
      <x:c r="M80" s="59" t="str">
        <x:f>IF(A80="","",SUMIF('LÍNEAS-DE-PEDIDO'!$B$11:$B$210,A80,'LÍNEAS-DE-PEDIDO'!$M$11:$M$210))</x:f>
      </x:c>
      <x:c r="N80" s="59" t="str">
        <x:f>IF(A80="","",M80*I80)</x:f>
      </x:c>
      <x:c r="O80" s="59" t="str">
        <x:f>IF(A80="","",M80+N80+J80)</x:f>
      </x:c>
      <x:c r="P80" s="59" t="str">
        <x:f>IF(A80="","",SUMIF('LÍNEAS-DE-PEDIDO'!$B$11:$B$210,A80,'LÍNEAS-DE-PEDIDO'!$N$11:$N$210))</x:f>
      </x:c>
      <x:c r="Q80" s="59" t="str">
        <x:f>IF(A80="","",IF(H80="Cancelada",0,MAX(M80-P80,0)))</x:f>
      </x:c>
      <x:c r="R80" s="60" t="str">
        <x:f>IF(A80="","",IF(M80=0,0,MIN(P80/M80,1)))</x:f>
      </x:c>
      <x:c r="S80" s="46" t="str">
        <x:f>IF(A80="","",IF(H80="Cancelada","Cancelada",IF(L80=0,"Sin líneas",IF(Q80=0,"Completa",IF(F80&lt;'CONFIGURACIÓN'!$B$7,"Vencida",IF(F80&lt;='CONFIGURACIÓN'!$B$7+'CONFIGURACIÓN'!$B$9,"Próxima a vencer","Abierta"))))))</x:f>
      </x:c>
    </x:row>
    <x:row r="81">
      <x:c r="A81" s="44"/>
      <x:c r="B81" s="51"/>
      <x:c r="C81" s="44"/>
      <x:c r="D81" s="44"/>
      <x:c r="E81" s="44"/>
      <x:c r="F81" s="51"/>
      <x:c r="G81" s="44"/>
      <x:c r="H81" s="44"/>
      <x:c r="I81" s="58"/>
      <x:c r="J81" s="53"/>
      <x:c r="K81" s="44"/>
      <x:c r="L81" s="46" t="str">
        <x:f>IF(A81="","",COUNTIF('LÍNEAS-DE-PEDIDO'!$B$11:$B$210,A81))</x:f>
      </x:c>
      <x:c r="M81" s="59" t="str">
        <x:f>IF(A81="","",SUMIF('LÍNEAS-DE-PEDIDO'!$B$11:$B$210,A81,'LÍNEAS-DE-PEDIDO'!$M$11:$M$210))</x:f>
      </x:c>
      <x:c r="N81" s="59" t="str">
        <x:f>IF(A81="","",M81*I81)</x:f>
      </x:c>
      <x:c r="O81" s="59" t="str">
        <x:f>IF(A81="","",M81+N81+J81)</x:f>
      </x:c>
      <x:c r="P81" s="59" t="str">
        <x:f>IF(A81="","",SUMIF('LÍNEAS-DE-PEDIDO'!$B$11:$B$210,A81,'LÍNEAS-DE-PEDIDO'!$N$11:$N$210))</x:f>
      </x:c>
      <x:c r="Q81" s="59" t="str">
        <x:f>IF(A81="","",IF(H81="Cancelada",0,MAX(M81-P81,0)))</x:f>
      </x:c>
      <x:c r="R81" s="60" t="str">
        <x:f>IF(A81="","",IF(M81=0,0,MIN(P81/M81,1)))</x:f>
      </x:c>
      <x:c r="S81" s="46" t="str">
        <x:f>IF(A81="","",IF(H81="Cancelada","Cancelada",IF(L81=0,"Sin líneas",IF(Q81=0,"Completa",IF(F81&lt;'CONFIGURACIÓN'!$B$7,"Vencida",IF(F81&lt;='CONFIGURACIÓN'!$B$7+'CONFIGURACIÓN'!$B$9,"Próxima a vencer","Abierta"))))))</x:f>
      </x:c>
    </x:row>
    <x:row r="82">
      <x:c r="A82" s="44"/>
      <x:c r="B82" s="51"/>
      <x:c r="C82" s="44"/>
      <x:c r="D82" s="44"/>
      <x:c r="E82" s="44"/>
      <x:c r="F82" s="51"/>
      <x:c r="G82" s="44"/>
      <x:c r="H82" s="44"/>
      <x:c r="I82" s="58"/>
      <x:c r="J82" s="53"/>
      <x:c r="K82" s="44"/>
      <x:c r="L82" s="46" t="str">
        <x:f>IF(A82="","",COUNTIF('LÍNEAS-DE-PEDIDO'!$B$11:$B$210,A82))</x:f>
      </x:c>
      <x:c r="M82" s="59" t="str">
        <x:f>IF(A82="","",SUMIF('LÍNEAS-DE-PEDIDO'!$B$11:$B$210,A82,'LÍNEAS-DE-PEDIDO'!$M$11:$M$210))</x:f>
      </x:c>
      <x:c r="N82" s="59" t="str">
        <x:f>IF(A82="","",M82*I82)</x:f>
      </x:c>
      <x:c r="O82" s="59" t="str">
        <x:f>IF(A82="","",M82+N82+J82)</x:f>
      </x:c>
      <x:c r="P82" s="59" t="str">
        <x:f>IF(A82="","",SUMIF('LÍNEAS-DE-PEDIDO'!$B$11:$B$210,A82,'LÍNEAS-DE-PEDIDO'!$N$11:$N$210))</x:f>
      </x:c>
      <x:c r="Q82" s="59" t="str">
        <x:f>IF(A82="","",IF(H82="Cancelada",0,MAX(M82-P82,0)))</x:f>
      </x:c>
      <x:c r="R82" s="60" t="str">
        <x:f>IF(A82="","",IF(M82=0,0,MIN(P82/M82,1)))</x:f>
      </x:c>
      <x:c r="S82" s="46" t="str">
        <x:f>IF(A82="","",IF(H82="Cancelada","Cancelada",IF(L82=0,"Sin líneas",IF(Q82=0,"Completa",IF(F82&lt;'CONFIGURACIÓN'!$B$7,"Vencida",IF(F82&lt;='CONFIGURACIÓN'!$B$7+'CONFIGURACIÓN'!$B$9,"Próxima a vencer","Abierta"))))))</x:f>
      </x:c>
    </x:row>
    <x:row r="83">
      <x:c r="A83" s="44"/>
      <x:c r="B83" s="51"/>
      <x:c r="C83" s="44"/>
      <x:c r="D83" s="44"/>
      <x:c r="E83" s="44"/>
      <x:c r="F83" s="51"/>
      <x:c r="G83" s="44"/>
      <x:c r="H83" s="44"/>
      <x:c r="I83" s="58"/>
      <x:c r="J83" s="53"/>
      <x:c r="K83" s="44"/>
      <x:c r="L83" s="46" t="str">
        <x:f>IF(A83="","",COUNTIF('LÍNEAS-DE-PEDIDO'!$B$11:$B$210,A83))</x:f>
      </x:c>
      <x:c r="M83" s="59" t="str">
        <x:f>IF(A83="","",SUMIF('LÍNEAS-DE-PEDIDO'!$B$11:$B$210,A83,'LÍNEAS-DE-PEDIDO'!$M$11:$M$210))</x:f>
      </x:c>
      <x:c r="N83" s="59" t="str">
        <x:f>IF(A83="","",M83*I83)</x:f>
      </x:c>
      <x:c r="O83" s="59" t="str">
        <x:f>IF(A83="","",M83+N83+J83)</x:f>
      </x:c>
      <x:c r="P83" s="59" t="str">
        <x:f>IF(A83="","",SUMIF('LÍNEAS-DE-PEDIDO'!$B$11:$B$210,A83,'LÍNEAS-DE-PEDIDO'!$N$11:$N$210))</x:f>
      </x:c>
      <x:c r="Q83" s="59" t="str">
        <x:f>IF(A83="","",IF(H83="Cancelada",0,MAX(M83-P83,0)))</x:f>
      </x:c>
      <x:c r="R83" s="60" t="str">
        <x:f>IF(A83="","",IF(M83=0,0,MIN(P83/M83,1)))</x:f>
      </x:c>
      <x:c r="S83" s="46" t="str">
        <x:f>IF(A83="","",IF(H83="Cancelada","Cancelada",IF(L83=0,"Sin líneas",IF(Q83=0,"Completa",IF(F83&lt;'CONFIGURACIÓN'!$B$7,"Vencida",IF(F83&lt;='CONFIGURACIÓN'!$B$7+'CONFIGURACIÓN'!$B$9,"Próxima a vencer","Abierta"))))))</x:f>
      </x:c>
    </x:row>
    <x:row r="84">
      <x:c r="A84" s="44"/>
      <x:c r="B84" s="51"/>
      <x:c r="C84" s="44"/>
      <x:c r="D84" s="44"/>
      <x:c r="E84" s="44"/>
      <x:c r="F84" s="51"/>
      <x:c r="G84" s="44"/>
      <x:c r="H84" s="44"/>
      <x:c r="I84" s="58"/>
      <x:c r="J84" s="53"/>
      <x:c r="K84" s="44"/>
      <x:c r="L84" s="46" t="str">
        <x:f>IF(A84="","",COUNTIF('LÍNEAS-DE-PEDIDO'!$B$11:$B$210,A84))</x:f>
      </x:c>
      <x:c r="M84" s="59" t="str">
        <x:f>IF(A84="","",SUMIF('LÍNEAS-DE-PEDIDO'!$B$11:$B$210,A84,'LÍNEAS-DE-PEDIDO'!$M$11:$M$210))</x:f>
      </x:c>
      <x:c r="N84" s="59" t="str">
        <x:f>IF(A84="","",M84*I84)</x:f>
      </x:c>
      <x:c r="O84" s="59" t="str">
        <x:f>IF(A84="","",M84+N84+J84)</x:f>
      </x:c>
      <x:c r="P84" s="59" t="str">
        <x:f>IF(A84="","",SUMIF('LÍNEAS-DE-PEDIDO'!$B$11:$B$210,A84,'LÍNEAS-DE-PEDIDO'!$N$11:$N$210))</x:f>
      </x:c>
      <x:c r="Q84" s="59" t="str">
        <x:f>IF(A84="","",IF(H84="Cancelada",0,MAX(M84-P84,0)))</x:f>
      </x:c>
      <x:c r="R84" s="60" t="str">
        <x:f>IF(A84="","",IF(M84=0,0,MIN(P84/M84,1)))</x:f>
      </x:c>
      <x:c r="S84" s="46" t="str">
        <x:f>IF(A84="","",IF(H84="Cancelada","Cancelada",IF(L84=0,"Sin líneas",IF(Q84=0,"Completa",IF(F84&lt;'CONFIGURACIÓN'!$B$7,"Vencida",IF(F84&lt;='CONFIGURACIÓN'!$B$7+'CONFIGURACIÓN'!$B$9,"Próxima a vencer","Abierta"))))))</x:f>
      </x:c>
    </x:row>
    <x:row r="85">
      <x:c r="A85" s="44"/>
      <x:c r="B85" s="51"/>
      <x:c r="C85" s="44"/>
      <x:c r="D85" s="44"/>
      <x:c r="E85" s="44"/>
      <x:c r="F85" s="51"/>
      <x:c r="G85" s="44"/>
      <x:c r="H85" s="44"/>
      <x:c r="I85" s="58"/>
      <x:c r="J85" s="53"/>
      <x:c r="K85" s="44"/>
      <x:c r="L85" s="46" t="str">
        <x:f>IF(A85="","",COUNTIF('LÍNEAS-DE-PEDIDO'!$B$11:$B$210,A85))</x:f>
      </x:c>
      <x:c r="M85" s="59" t="str">
        <x:f>IF(A85="","",SUMIF('LÍNEAS-DE-PEDIDO'!$B$11:$B$210,A85,'LÍNEAS-DE-PEDIDO'!$M$11:$M$210))</x:f>
      </x:c>
      <x:c r="N85" s="59" t="str">
        <x:f>IF(A85="","",M85*I85)</x:f>
      </x:c>
      <x:c r="O85" s="59" t="str">
        <x:f>IF(A85="","",M85+N85+J85)</x:f>
      </x:c>
      <x:c r="P85" s="59" t="str">
        <x:f>IF(A85="","",SUMIF('LÍNEAS-DE-PEDIDO'!$B$11:$B$210,A85,'LÍNEAS-DE-PEDIDO'!$N$11:$N$210))</x:f>
      </x:c>
      <x:c r="Q85" s="59" t="str">
        <x:f>IF(A85="","",IF(H85="Cancelada",0,MAX(M85-P85,0)))</x:f>
      </x:c>
      <x:c r="R85" s="60" t="str">
        <x:f>IF(A85="","",IF(M85=0,0,MIN(P85/M85,1)))</x:f>
      </x:c>
      <x:c r="S85" s="46" t="str">
        <x:f>IF(A85="","",IF(H85="Cancelada","Cancelada",IF(L85=0,"Sin líneas",IF(Q85=0,"Completa",IF(F85&lt;'CONFIGURACIÓN'!$B$7,"Vencida",IF(F85&lt;='CONFIGURACIÓN'!$B$7+'CONFIGURACIÓN'!$B$9,"Próxima a vencer","Abierta"))))))</x:f>
      </x:c>
    </x:row>
    <x:row r="86">
      <x:c r="A86" s="44"/>
      <x:c r="B86" s="51"/>
      <x:c r="C86" s="44"/>
      <x:c r="D86" s="44"/>
      <x:c r="E86" s="44"/>
      <x:c r="F86" s="51"/>
      <x:c r="G86" s="44"/>
      <x:c r="H86" s="44"/>
      <x:c r="I86" s="58"/>
      <x:c r="J86" s="53"/>
      <x:c r="K86" s="44"/>
      <x:c r="L86" s="46" t="str">
        <x:f>IF(A86="","",COUNTIF('LÍNEAS-DE-PEDIDO'!$B$11:$B$210,A86))</x:f>
      </x:c>
      <x:c r="M86" s="59" t="str">
        <x:f>IF(A86="","",SUMIF('LÍNEAS-DE-PEDIDO'!$B$11:$B$210,A86,'LÍNEAS-DE-PEDIDO'!$M$11:$M$210))</x:f>
      </x:c>
      <x:c r="N86" s="59" t="str">
        <x:f>IF(A86="","",M86*I86)</x:f>
      </x:c>
      <x:c r="O86" s="59" t="str">
        <x:f>IF(A86="","",M86+N86+J86)</x:f>
      </x:c>
      <x:c r="P86" s="59" t="str">
        <x:f>IF(A86="","",SUMIF('LÍNEAS-DE-PEDIDO'!$B$11:$B$210,A86,'LÍNEAS-DE-PEDIDO'!$N$11:$N$210))</x:f>
      </x:c>
      <x:c r="Q86" s="59" t="str">
        <x:f>IF(A86="","",IF(H86="Cancelada",0,MAX(M86-P86,0)))</x:f>
      </x:c>
      <x:c r="R86" s="60" t="str">
        <x:f>IF(A86="","",IF(M86=0,0,MIN(P86/M86,1)))</x:f>
      </x:c>
      <x:c r="S86" s="46" t="str">
        <x:f>IF(A86="","",IF(H86="Cancelada","Cancelada",IF(L86=0,"Sin líneas",IF(Q86=0,"Completa",IF(F86&lt;'CONFIGURACIÓN'!$B$7,"Vencida",IF(F86&lt;='CONFIGURACIÓN'!$B$7+'CONFIGURACIÓN'!$B$9,"Próxima a vencer","Abierta"))))))</x:f>
      </x:c>
    </x:row>
    <x:row r="87">
      <x:c r="A87" s="44"/>
      <x:c r="B87" s="51"/>
      <x:c r="C87" s="44"/>
      <x:c r="D87" s="44"/>
      <x:c r="E87" s="44"/>
      <x:c r="F87" s="51"/>
      <x:c r="G87" s="44"/>
      <x:c r="H87" s="44"/>
      <x:c r="I87" s="58"/>
      <x:c r="J87" s="53"/>
      <x:c r="K87" s="44"/>
      <x:c r="L87" s="46" t="str">
        <x:f>IF(A87="","",COUNTIF('LÍNEAS-DE-PEDIDO'!$B$11:$B$210,A87))</x:f>
      </x:c>
      <x:c r="M87" s="59" t="str">
        <x:f>IF(A87="","",SUMIF('LÍNEAS-DE-PEDIDO'!$B$11:$B$210,A87,'LÍNEAS-DE-PEDIDO'!$M$11:$M$210))</x:f>
      </x:c>
      <x:c r="N87" s="59" t="str">
        <x:f>IF(A87="","",M87*I87)</x:f>
      </x:c>
      <x:c r="O87" s="59" t="str">
        <x:f>IF(A87="","",M87+N87+J87)</x:f>
      </x:c>
      <x:c r="P87" s="59" t="str">
        <x:f>IF(A87="","",SUMIF('LÍNEAS-DE-PEDIDO'!$B$11:$B$210,A87,'LÍNEAS-DE-PEDIDO'!$N$11:$N$210))</x:f>
      </x:c>
      <x:c r="Q87" s="59" t="str">
        <x:f>IF(A87="","",IF(H87="Cancelada",0,MAX(M87-P87,0)))</x:f>
      </x:c>
      <x:c r="R87" s="60" t="str">
        <x:f>IF(A87="","",IF(M87=0,0,MIN(P87/M87,1)))</x:f>
      </x:c>
      <x:c r="S87" s="46" t="str">
        <x:f>IF(A87="","",IF(H87="Cancelada","Cancelada",IF(L87=0,"Sin líneas",IF(Q87=0,"Completa",IF(F87&lt;'CONFIGURACIÓN'!$B$7,"Vencida",IF(F87&lt;='CONFIGURACIÓN'!$B$7+'CONFIGURACIÓN'!$B$9,"Próxima a vencer","Abierta"))))))</x:f>
      </x:c>
    </x:row>
    <x:row r="88">
      <x:c r="A88" s="44"/>
      <x:c r="B88" s="51"/>
      <x:c r="C88" s="44"/>
      <x:c r="D88" s="44"/>
      <x:c r="E88" s="44"/>
      <x:c r="F88" s="51"/>
      <x:c r="G88" s="44"/>
      <x:c r="H88" s="44"/>
      <x:c r="I88" s="58"/>
      <x:c r="J88" s="53"/>
      <x:c r="K88" s="44"/>
      <x:c r="L88" s="46" t="str">
        <x:f>IF(A88="","",COUNTIF('LÍNEAS-DE-PEDIDO'!$B$11:$B$210,A88))</x:f>
      </x:c>
      <x:c r="M88" s="59" t="str">
        <x:f>IF(A88="","",SUMIF('LÍNEAS-DE-PEDIDO'!$B$11:$B$210,A88,'LÍNEAS-DE-PEDIDO'!$M$11:$M$210))</x:f>
      </x:c>
      <x:c r="N88" s="59" t="str">
        <x:f>IF(A88="","",M88*I88)</x:f>
      </x:c>
      <x:c r="O88" s="59" t="str">
        <x:f>IF(A88="","",M88+N88+J88)</x:f>
      </x:c>
      <x:c r="P88" s="59" t="str">
        <x:f>IF(A88="","",SUMIF('LÍNEAS-DE-PEDIDO'!$B$11:$B$210,A88,'LÍNEAS-DE-PEDIDO'!$N$11:$N$210))</x:f>
      </x:c>
      <x:c r="Q88" s="59" t="str">
        <x:f>IF(A88="","",IF(H88="Cancelada",0,MAX(M88-P88,0)))</x:f>
      </x:c>
      <x:c r="R88" s="60" t="str">
        <x:f>IF(A88="","",IF(M88=0,0,MIN(P88/M88,1)))</x:f>
      </x:c>
      <x:c r="S88" s="46" t="str">
        <x:f>IF(A88="","",IF(H88="Cancelada","Cancelada",IF(L88=0,"Sin líneas",IF(Q88=0,"Completa",IF(F88&lt;'CONFIGURACIÓN'!$B$7,"Vencida",IF(F88&lt;='CONFIGURACIÓN'!$B$7+'CONFIGURACIÓN'!$B$9,"Próxima a vencer","Abierta"))))))</x:f>
      </x:c>
    </x:row>
    <x:row r="89">
      <x:c r="A89" s="44"/>
      <x:c r="B89" s="51"/>
      <x:c r="C89" s="44"/>
      <x:c r="D89" s="44"/>
      <x:c r="E89" s="44"/>
      <x:c r="F89" s="51"/>
      <x:c r="G89" s="44"/>
      <x:c r="H89" s="44"/>
      <x:c r="I89" s="58"/>
      <x:c r="J89" s="53"/>
      <x:c r="K89" s="44"/>
      <x:c r="L89" s="46" t="str">
        <x:f>IF(A89="","",COUNTIF('LÍNEAS-DE-PEDIDO'!$B$11:$B$210,A89))</x:f>
      </x:c>
      <x:c r="M89" s="59" t="str">
        <x:f>IF(A89="","",SUMIF('LÍNEAS-DE-PEDIDO'!$B$11:$B$210,A89,'LÍNEAS-DE-PEDIDO'!$M$11:$M$210))</x:f>
      </x:c>
      <x:c r="N89" s="59" t="str">
        <x:f>IF(A89="","",M89*I89)</x:f>
      </x:c>
      <x:c r="O89" s="59" t="str">
        <x:f>IF(A89="","",M89+N89+J89)</x:f>
      </x:c>
      <x:c r="P89" s="59" t="str">
        <x:f>IF(A89="","",SUMIF('LÍNEAS-DE-PEDIDO'!$B$11:$B$210,A89,'LÍNEAS-DE-PEDIDO'!$N$11:$N$210))</x:f>
      </x:c>
      <x:c r="Q89" s="59" t="str">
        <x:f>IF(A89="","",IF(H89="Cancelada",0,MAX(M89-P89,0)))</x:f>
      </x:c>
      <x:c r="R89" s="60" t="str">
        <x:f>IF(A89="","",IF(M89=0,0,MIN(P89/M89,1)))</x:f>
      </x:c>
      <x:c r="S89" s="46" t="str">
        <x:f>IF(A89="","",IF(H89="Cancelada","Cancelada",IF(L89=0,"Sin líneas",IF(Q89=0,"Completa",IF(F89&lt;'CONFIGURACIÓN'!$B$7,"Vencida",IF(F89&lt;='CONFIGURACIÓN'!$B$7+'CONFIGURACIÓN'!$B$9,"Próxima a vencer","Abierta"))))))</x:f>
      </x:c>
    </x:row>
    <x:row r="90">
      <x:c r="A90" s="44"/>
      <x:c r="B90" s="51"/>
      <x:c r="C90" s="44"/>
      <x:c r="D90" s="44"/>
      <x:c r="E90" s="44"/>
      <x:c r="F90" s="51"/>
      <x:c r="G90" s="44"/>
      <x:c r="H90" s="44"/>
      <x:c r="I90" s="58"/>
      <x:c r="J90" s="53"/>
      <x:c r="K90" s="44"/>
      <x:c r="L90" s="46" t="str">
        <x:f>IF(A90="","",COUNTIF('LÍNEAS-DE-PEDIDO'!$B$11:$B$210,A90))</x:f>
      </x:c>
      <x:c r="M90" s="59" t="str">
        <x:f>IF(A90="","",SUMIF('LÍNEAS-DE-PEDIDO'!$B$11:$B$210,A90,'LÍNEAS-DE-PEDIDO'!$M$11:$M$210))</x:f>
      </x:c>
      <x:c r="N90" s="59" t="str">
        <x:f>IF(A90="","",M90*I90)</x:f>
      </x:c>
      <x:c r="O90" s="59" t="str">
        <x:f>IF(A90="","",M90+N90+J90)</x:f>
      </x:c>
      <x:c r="P90" s="59" t="str">
        <x:f>IF(A90="","",SUMIF('LÍNEAS-DE-PEDIDO'!$B$11:$B$210,A90,'LÍNEAS-DE-PEDIDO'!$N$11:$N$210))</x:f>
      </x:c>
      <x:c r="Q90" s="59" t="str">
        <x:f>IF(A90="","",IF(H90="Cancelada",0,MAX(M90-P90,0)))</x:f>
      </x:c>
      <x:c r="R90" s="60" t="str">
        <x:f>IF(A90="","",IF(M90=0,0,MIN(P90/M90,1)))</x:f>
      </x:c>
      <x:c r="S90" s="46" t="str">
        <x:f>IF(A90="","",IF(H90="Cancelada","Cancelada",IF(L90=0,"Sin líneas",IF(Q90=0,"Completa",IF(F90&lt;'CONFIGURACIÓN'!$B$7,"Vencida",IF(F90&lt;='CONFIGURACIÓN'!$B$7+'CONFIGURACIÓN'!$B$9,"Próxima a vencer","Abierta"))))))</x:f>
      </x:c>
    </x:row>
    <x:row r="91">
      <x:c r="A91" s="44"/>
      <x:c r="B91" s="51"/>
      <x:c r="C91" s="44"/>
      <x:c r="D91" s="44"/>
      <x:c r="E91" s="44"/>
      <x:c r="F91" s="51"/>
      <x:c r="G91" s="44"/>
      <x:c r="H91" s="44"/>
      <x:c r="I91" s="58"/>
      <x:c r="J91" s="53"/>
      <x:c r="K91" s="44"/>
      <x:c r="L91" s="46" t="str">
        <x:f>IF(A91="","",COUNTIF('LÍNEAS-DE-PEDIDO'!$B$11:$B$210,A91))</x:f>
      </x:c>
      <x:c r="M91" s="59" t="str">
        <x:f>IF(A91="","",SUMIF('LÍNEAS-DE-PEDIDO'!$B$11:$B$210,A91,'LÍNEAS-DE-PEDIDO'!$M$11:$M$210))</x:f>
      </x:c>
      <x:c r="N91" s="59" t="str">
        <x:f>IF(A91="","",M91*I91)</x:f>
      </x:c>
      <x:c r="O91" s="59" t="str">
        <x:f>IF(A91="","",M91+N91+J91)</x:f>
      </x:c>
      <x:c r="P91" s="59" t="str">
        <x:f>IF(A91="","",SUMIF('LÍNEAS-DE-PEDIDO'!$B$11:$B$210,A91,'LÍNEAS-DE-PEDIDO'!$N$11:$N$210))</x:f>
      </x:c>
      <x:c r="Q91" s="59" t="str">
        <x:f>IF(A91="","",IF(H91="Cancelada",0,MAX(M91-P91,0)))</x:f>
      </x:c>
      <x:c r="R91" s="60" t="str">
        <x:f>IF(A91="","",IF(M91=0,0,MIN(P91/M91,1)))</x:f>
      </x:c>
      <x:c r="S91" s="46" t="str">
        <x:f>IF(A91="","",IF(H91="Cancelada","Cancelada",IF(L91=0,"Sin líneas",IF(Q91=0,"Completa",IF(F91&lt;'CONFIGURACIÓN'!$B$7,"Vencida",IF(F91&lt;='CONFIGURACIÓN'!$B$7+'CONFIGURACIÓN'!$B$9,"Próxima a vencer","Abierta"))))))</x:f>
      </x:c>
    </x:row>
    <x:row r="92">
      <x:c r="A92" s="44"/>
      <x:c r="B92" s="51"/>
      <x:c r="C92" s="44"/>
      <x:c r="D92" s="44"/>
      <x:c r="E92" s="44"/>
      <x:c r="F92" s="51"/>
      <x:c r="G92" s="44"/>
      <x:c r="H92" s="44"/>
      <x:c r="I92" s="58"/>
      <x:c r="J92" s="53"/>
      <x:c r="K92" s="44"/>
      <x:c r="L92" s="46" t="str">
        <x:f>IF(A92="","",COUNTIF('LÍNEAS-DE-PEDIDO'!$B$11:$B$210,A92))</x:f>
      </x:c>
      <x:c r="M92" s="59" t="str">
        <x:f>IF(A92="","",SUMIF('LÍNEAS-DE-PEDIDO'!$B$11:$B$210,A92,'LÍNEAS-DE-PEDIDO'!$M$11:$M$210))</x:f>
      </x:c>
      <x:c r="N92" s="59" t="str">
        <x:f>IF(A92="","",M92*I92)</x:f>
      </x:c>
      <x:c r="O92" s="59" t="str">
        <x:f>IF(A92="","",M92+N92+J92)</x:f>
      </x:c>
      <x:c r="P92" s="59" t="str">
        <x:f>IF(A92="","",SUMIF('LÍNEAS-DE-PEDIDO'!$B$11:$B$210,A92,'LÍNEAS-DE-PEDIDO'!$N$11:$N$210))</x:f>
      </x:c>
      <x:c r="Q92" s="59" t="str">
        <x:f>IF(A92="","",IF(H92="Cancelada",0,MAX(M92-P92,0)))</x:f>
      </x:c>
      <x:c r="R92" s="60" t="str">
        <x:f>IF(A92="","",IF(M92=0,0,MIN(P92/M92,1)))</x:f>
      </x:c>
      <x:c r="S92" s="46" t="str">
        <x:f>IF(A92="","",IF(H92="Cancelada","Cancelada",IF(L92=0,"Sin líneas",IF(Q92=0,"Completa",IF(F92&lt;'CONFIGURACIÓN'!$B$7,"Vencida",IF(F92&lt;='CONFIGURACIÓN'!$B$7+'CONFIGURACIÓN'!$B$9,"Próxima a vencer","Abierta"))))))</x:f>
      </x:c>
    </x:row>
    <x:row r="93">
      <x:c r="A93" s="44"/>
      <x:c r="B93" s="51"/>
      <x:c r="C93" s="44"/>
      <x:c r="D93" s="44"/>
      <x:c r="E93" s="44"/>
      <x:c r="F93" s="51"/>
      <x:c r="G93" s="44"/>
      <x:c r="H93" s="44"/>
      <x:c r="I93" s="58"/>
      <x:c r="J93" s="53"/>
      <x:c r="K93" s="44"/>
      <x:c r="L93" s="46" t="str">
        <x:f>IF(A93="","",COUNTIF('LÍNEAS-DE-PEDIDO'!$B$11:$B$210,A93))</x:f>
      </x:c>
      <x:c r="M93" s="59" t="str">
        <x:f>IF(A93="","",SUMIF('LÍNEAS-DE-PEDIDO'!$B$11:$B$210,A93,'LÍNEAS-DE-PEDIDO'!$M$11:$M$210))</x:f>
      </x:c>
      <x:c r="N93" s="59" t="str">
        <x:f>IF(A93="","",M93*I93)</x:f>
      </x:c>
      <x:c r="O93" s="59" t="str">
        <x:f>IF(A93="","",M93+N93+J93)</x:f>
      </x:c>
      <x:c r="P93" s="59" t="str">
        <x:f>IF(A93="","",SUMIF('LÍNEAS-DE-PEDIDO'!$B$11:$B$210,A93,'LÍNEAS-DE-PEDIDO'!$N$11:$N$210))</x:f>
      </x:c>
      <x:c r="Q93" s="59" t="str">
        <x:f>IF(A93="","",IF(H93="Cancelada",0,MAX(M93-P93,0)))</x:f>
      </x:c>
      <x:c r="R93" s="60" t="str">
        <x:f>IF(A93="","",IF(M93=0,0,MIN(P93/M93,1)))</x:f>
      </x:c>
      <x:c r="S93" s="46" t="str">
        <x:f>IF(A93="","",IF(H93="Cancelada","Cancelada",IF(L93=0,"Sin líneas",IF(Q93=0,"Completa",IF(F93&lt;'CONFIGURACIÓN'!$B$7,"Vencida",IF(F93&lt;='CONFIGURACIÓN'!$B$7+'CONFIGURACIÓN'!$B$9,"Próxima a vencer","Abierta"))))))</x:f>
      </x:c>
    </x:row>
    <x:row r="94">
      <x:c r="A94" s="44"/>
      <x:c r="B94" s="51"/>
      <x:c r="C94" s="44"/>
      <x:c r="D94" s="44"/>
      <x:c r="E94" s="44"/>
      <x:c r="F94" s="51"/>
      <x:c r="G94" s="44"/>
      <x:c r="H94" s="44"/>
      <x:c r="I94" s="58"/>
      <x:c r="J94" s="53"/>
      <x:c r="K94" s="44"/>
      <x:c r="L94" s="46" t="str">
        <x:f>IF(A94="","",COUNTIF('LÍNEAS-DE-PEDIDO'!$B$11:$B$210,A94))</x:f>
      </x:c>
      <x:c r="M94" s="59" t="str">
        <x:f>IF(A94="","",SUMIF('LÍNEAS-DE-PEDIDO'!$B$11:$B$210,A94,'LÍNEAS-DE-PEDIDO'!$M$11:$M$210))</x:f>
      </x:c>
      <x:c r="N94" s="59" t="str">
        <x:f>IF(A94="","",M94*I94)</x:f>
      </x:c>
      <x:c r="O94" s="59" t="str">
        <x:f>IF(A94="","",M94+N94+J94)</x:f>
      </x:c>
      <x:c r="P94" s="59" t="str">
        <x:f>IF(A94="","",SUMIF('LÍNEAS-DE-PEDIDO'!$B$11:$B$210,A94,'LÍNEAS-DE-PEDIDO'!$N$11:$N$210))</x:f>
      </x:c>
      <x:c r="Q94" s="59" t="str">
        <x:f>IF(A94="","",IF(H94="Cancelada",0,MAX(M94-P94,0)))</x:f>
      </x:c>
      <x:c r="R94" s="60" t="str">
        <x:f>IF(A94="","",IF(M94=0,0,MIN(P94/M94,1)))</x:f>
      </x:c>
      <x:c r="S94" s="46" t="str">
        <x:f>IF(A94="","",IF(H94="Cancelada","Cancelada",IF(L94=0,"Sin líneas",IF(Q94=0,"Completa",IF(F94&lt;'CONFIGURACIÓN'!$B$7,"Vencida",IF(F94&lt;='CONFIGURACIÓN'!$B$7+'CONFIGURACIÓN'!$B$9,"Próxima a vencer","Abierta"))))))</x:f>
      </x:c>
    </x:row>
    <x:row r="95">
      <x:c r="A95" s="44"/>
      <x:c r="B95" s="51"/>
      <x:c r="C95" s="44"/>
      <x:c r="D95" s="44"/>
      <x:c r="E95" s="44"/>
      <x:c r="F95" s="51"/>
      <x:c r="G95" s="44"/>
      <x:c r="H95" s="44"/>
      <x:c r="I95" s="58"/>
      <x:c r="J95" s="53"/>
      <x:c r="K95" s="44"/>
      <x:c r="L95" s="46" t="str">
        <x:f>IF(A95="","",COUNTIF('LÍNEAS-DE-PEDIDO'!$B$11:$B$210,A95))</x:f>
      </x:c>
      <x:c r="M95" s="59" t="str">
        <x:f>IF(A95="","",SUMIF('LÍNEAS-DE-PEDIDO'!$B$11:$B$210,A95,'LÍNEAS-DE-PEDIDO'!$M$11:$M$210))</x:f>
      </x:c>
      <x:c r="N95" s="59" t="str">
        <x:f>IF(A95="","",M95*I95)</x:f>
      </x:c>
      <x:c r="O95" s="59" t="str">
        <x:f>IF(A95="","",M95+N95+J95)</x:f>
      </x:c>
      <x:c r="P95" s="59" t="str">
        <x:f>IF(A95="","",SUMIF('LÍNEAS-DE-PEDIDO'!$B$11:$B$210,A95,'LÍNEAS-DE-PEDIDO'!$N$11:$N$210))</x:f>
      </x:c>
      <x:c r="Q95" s="59" t="str">
        <x:f>IF(A95="","",IF(H95="Cancelada",0,MAX(M95-P95,0)))</x:f>
      </x:c>
      <x:c r="R95" s="60" t="str">
        <x:f>IF(A95="","",IF(M95=0,0,MIN(P95/M95,1)))</x:f>
      </x:c>
      <x:c r="S95" s="46" t="str">
        <x:f>IF(A95="","",IF(H95="Cancelada","Cancelada",IF(L95=0,"Sin líneas",IF(Q95=0,"Completa",IF(F95&lt;'CONFIGURACIÓN'!$B$7,"Vencida",IF(F95&lt;='CONFIGURACIÓN'!$B$7+'CONFIGURACIÓN'!$B$9,"Próxima a vencer","Abierta"))))))</x:f>
      </x:c>
    </x:row>
    <x:row r="96">
      <x:c r="A96" s="44"/>
      <x:c r="B96" s="51"/>
      <x:c r="C96" s="44"/>
      <x:c r="D96" s="44"/>
      <x:c r="E96" s="44"/>
      <x:c r="F96" s="51"/>
      <x:c r="G96" s="44"/>
      <x:c r="H96" s="44"/>
      <x:c r="I96" s="58"/>
      <x:c r="J96" s="53"/>
      <x:c r="K96" s="44"/>
      <x:c r="L96" s="46" t="str">
        <x:f>IF(A96="","",COUNTIF('LÍNEAS-DE-PEDIDO'!$B$11:$B$210,A96))</x:f>
      </x:c>
      <x:c r="M96" s="59" t="str">
        <x:f>IF(A96="","",SUMIF('LÍNEAS-DE-PEDIDO'!$B$11:$B$210,A96,'LÍNEAS-DE-PEDIDO'!$M$11:$M$210))</x:f>
      </x:c>
      <x:c r="N96" s="59" t="str">
        <x:f>IF(A96="","",M96*I96)</x:f>
      </x:c>
      <x:c r="O96" s="59" t="str">
        <x:f>IF(A96="","",M96+N96+J96)</x:f>
      </x:c>
      <x:c r="P96" s="59" t="str">
        <x:f>IF(A96="","",SUMIF('LÍNEAS-DE-PEDIDO'!$B$11:$B$210,A96,'LÍNEAS-DE-PEDIDO'!$N$11:$N$210))</x:f>
      </x:c>
      <x:c r="Q96" s="59" t="str">
        <x:f>IF(A96="","",IF(H96="Cancelada",0,MAX(M96-P96,0)))</x:f>
      </x:c>
      <x:c r="R96" s="60" t="str">
        <x:f>IF(A96="","",IF(M96=0,0,MIN(P96/M96,1)))</x:f>
      </x:c>
      <x:c r="S96" s="46" t="str">
        <x:f>IF(A96="","",IF(H96="Cancelada","Cancelada",IF(L96=0,"Sin líneas",IF(Q96=0,"Completa",IF(F96&lt;'CONFIGURACIÓN'!$B$7,"Vencida",IF(F96&lt;='CONFIGURACIÓN'!$B$7+'CONFIGURACIÓN'!$B$9,"Próxima a vencer","Abierta"))))))</x:f>
      </x:c>
    </x:row>
    <x:row r="97">
      <x:c r="A97" s="44"/>
      <x:c r="B97" s="51"/>
      <x:c r="C97" s="44"/>
      <x:c r="D97" s="44"/>
      <x:c r="E97" s="44"/>
      <x:c r="F97" s="51"/>
      <x:c r="G97" s="44"/>
      <x:c r="H97" s="44"/>
      <x:c r="I97" s="58"/>
      <x:c r="J97" s="53"/>
      <x:c r="K97" s="44"/>
      <x:c r="L97" s="46" t="str">
        <x:f>IF(A97="","",COUNTIF('LÍNEAS-DE-PEDIDO'!$B$11:$B$210,A97))</x:f>
      </x:c>
      <x:c r="M97" s="59" t="str">
        <x:f>IF(A97="","",SUMIF('LÍNEAS-DE-PEDIDO'!$B$11:$B$210,A97,'LÍNEAS-DE-PEDIDO'!$M$11:$M$210))</x:f>
      </x:c>
      <x:c r="N97" s="59" t="str">
        <x:f>IF(A97="","",M97*I97)</x:f>
      </x:c>
      <x:c r="O97" s="59" t="str">
        <x:f>IF(A97="","",M97+N97+J97)</x:f>
      </x:c>
      <x:c r="P97" s="59" t="str">
        <x:f>IF(A97="","",SUMIF('LÍNEAS-DE-PEDIDO'!$B$11:$B$210,A97,'LÍNEAS-DE-PEDIDO'!$N$11:$N$210))</x:f>
      </x:c>
      <x:c r="Q97" s="59" t="str">
        <x:f>IF(A97="","",IF(H97="Cancelada",0,MAX(M97-P97,0)))</x:f>
      </x:c>
      <x:c r="R97" s="60" t="str">
        <x:f>IF(A97="","",IF(M97=0,0,MIN(P97/M97,1)))</x:f>
      </x:c>
      <x:c r="S97" s="46" t="str">
        <x:f>IF(A97="","",IF(H97="Cancelada","Cancelada",IF(L97=0,"Sin líneas",IF(Q97=0,"Completa",IF(F97&lt;'CONFIGURACIÓN'!$B$7,"Vencida",IF(F97&lt;='CONFIGURACIÓN'!$B$7+'CONFIGURACIÓN'!$B$9,"Próxima a vencer","Abierta"))))))</x:f>
      </x:c>
    </x:row>
    <x:row r="98">
      <x:c r="A98" s="44"/>
      <x:c r="B98" s="51"/>
      <x:c r="C98" s="44"/>
      <x:c r="D98" s="44"/>
      <x:c r="E98" s="44"/>
      <x:c r="F98" s="51"/>
      <x:c r="G98" s="44"/>
      <x:c r="H98" s="44"/>
      <x:c r="I98" s="58"/>
      <x:c r="J98" s="53"/>
      <x:c r="K98" s="44"/>
      <x:c r="L98" s="46" t="str">
        <x:f>IF(A98="","",COUNTIF('LÍNEAS-DE-PEDIDO'!$B$11:$B$210,A98))</x:f>
      </x:c>
      <x:c r="M98" s="59" t="str">
        <x:f>IF(A98="","",SUMIF('LÍNEAS-DE-PEDIDO'!$B$11:$B$210,A98,'LÍNEAS-DE-PEDIDO'!$M$11:$M$210))</x:f>
      </x:c>
      <x:c r="N98" s="59" t="str">
        <x:f>IF(A98="","",M98*I98)</x:f>
      </x:c>
      <x:c r="O98" s="59" t="str">
        <x:f>IF(A98="","",M98+N98+J98)</x:f>
      </x:c>
      <x:c r="P98" s="59" t="str">
        <x:f>IF(A98="","",SUMIF('LÍNEAS-DE-PEDIDO'!$B$11:$B$210,A98,'LÍNEAS-DE-PEDIDO'!$N$11:$N$210))</x:f>
      </x:c>
      <x:c r="Q98" s="59" t="str">
        <x:f>IF(A98="","",IF(H98="Cancelada",0,MAX(M98-P98,0)))</x:f>
      </x:c>
      <x:c r="R98" s="60" t="str">
        <x:f>IF(A98="","",IF(M98=0,0,MIN(P98/M98,1)))</x:f>
      </x:c>
      <x:c r="S98" s="46" t="str">
        <x:f>IF(A98="","",IF(H98="Cancelada","Cancelada",IF(L98=0,"Sin líneas",IF(Q98=0,"Completa",IF(F98&lt;'CONFIGURACIÓN'!$B$7,"Vencida",IF(F98&lt;='CONFIGURACIÓN'!$B$7+'CONFIGURACIÓN'!$B$9,"Próxima a vencer","Abierta"))))))</x:f>
      </x:c>
    </x:row>
    <x:row r="99">
      <x:c r="A99" s="44"/>
      <x:c r="B99" s="51"/>
      <x:c r="C99" s="44"/>
      <x:c r="D99" s="44"/>
      <x:c r="E99" s="44"/>
      <x:c r="F99" s="51"/>
      <x:c r="G99" s="44"/>
      <x:c r="H99" s="44"/>
      <x:c r="I99" s="58"/>
      <x:c r="J99" s="53"/>
      <x:c r="K99" s="44"/>
      <x:c r="L99" s="46" t="str">
        <x:f>IF(A99="","",COUNTIF('LÍNEAS-DE-PEDIDO'!$B$11:$B$210,A99))</x:f>
      </x:c>
      <x:c r="M99" s="59" t="str">
        <x:f>IF(A99="","",SUMIF('LÍNEAS-DE-PEDIDO'!$B$11:$B$210,A99,'LÍNEAS-DE-PEDIDO'!$M$11:$M$210))</x:f>
      </x:c>
      <x:c r="N99" s="59" t="str">
        <x:f>IF(A99="","",M99*I99)</x:f>
      </x:c>
      <x:c r="O99" s="59" t="str">
        <x:f>IF(A99="","",M99+N99+J99)</x:f>
      </x:c>
      <x:c r="P99" s="59" t="str">
        <x:f>IF(A99="","",SUMIF('LÍNEAS-DE-PEDIDO'!$B$11:$B$210,A99,'LÍNEAS-DE-PEDIDO'!$N$11:$N$210))</x:f>
      </x:c>
      <x:c r="Q99" s="59" t="str">
        <x:f>IF(A99="","",IF(H99="Cancelada",0,MAX(M99-P99,0)))</x:f>
      </x:c>
      <x:c r="R99" s="60" t="str">
        <x:f>IF(A99="","",IF(M99=0,0,MIN(P99/M99,1)))</x:f>
      </x:c>
      <x:c r="S99" s="46" t="str">
        <x:f>IF(A99="","",IF(H99="Cancelada","Cancelada",IF(L99=0,"Sin líneas",IF(Q99=0,"Completa",IF(F99&lt;'CONFIGURACIÓN'!$B$7,"Vencida",IF(F99&lt;='CONFIGURACIÓN'!$B$7+'CONFIGURACIÓN'!$B$9,"Próxima a vencer","Abierta"))))))</x:f>
      </x:c>
    </x:row>
    <x:row r="100">
      <x:c r="A100" s="44"/>
      <x:c r="B100" s="51"/>
      <x:c r="C100" s="44"/>
      <x:c r="D100" s="44"/>
      <x:c r="E100" s="44"/>
      <x:c r="F100" s="51"/>
      <x:c r="G100" s="44"/>
      <x:c r="H100" s="44"/>
      <x:c r="I100" s="58"/>
      <x:c r="J100" s="53"/>
      <x:c r="K100" s="44"/>
      <x:c r="L100" s="46" t="str">
        <x:f>IF(A100="","",COUNTIF('LÍNEAS-DE-PEDIDO'!$B$11:$B$210,A100))</x:f>
      </x:c>
      <x:c r="M100" s="59" t="str">
        <x:f>IF(A100="","",SUMIF('LÍNEAS-DE-PEDIDO'!$B$11:$B$210,A100,'LÍNEAS-DE-PEDIDO'!$M$11:$M$210))</x:f>
      </x:c>
      <x:c r="N100" s="59" t="str">
        <x:f>IF(A100="","",M100*I100)</x:f>
      </x:c>
      <x:c r="O100" s="59" t="str">
        <x:f>IF(A100="","",M100+N100+J100)</x:f>
      </x:c>
      <x:c r="P100" s="59" t="str">
        <x:f>IF(A100="","",SUMIF('LÍNEAS-DE-PEDIDO'!$B$11:$B$210,A100,'LÍNEAS-DE-PEDIDO'!$N$11:$N$210))</x:f>
      </x:c>
      <x:c r="Q100" s="59" t="str">
        <x:f>IF(A100="","",IF(H100="Cancelada",0,MAX(M100-P100,0)))</x:f>
      </x:c>
      <x:c r="R100" s="60" t="str">
        <x:f>IF(A100="","",IF(M100=0,0,MIN(P100/M100,1)))</x:f>
      </x:c>
      <x:c r="S100" s="46" t="str">
        <x:f>IF(A100="","",IF(H100="Cancelada","Cancelada",IF(L100=0,"Sin líneas",IF(Q100=0,"Completa",IF(F100&lt;'CONFIGURACIÓN'!$B$7,"Vencida",IF(F100&lt;='CONFIGURACIÓN'!$B$7+'CONFIGURACIÓN'!$B$9,"Próxima a vencer","Abierta"))))))</x:f>
      </x:c>
    </x:row>
    <x:row r="101">
      <x:c r="A101" s="44"/>
      <x:c r="B101" s="51"/>
      <x:c r="C101" s="44"/>
      <x:c r="D101" s="44"/>
      <x:c r="E101" s="44"/>
      <x:c r="F101" s="51"/>
      <x:c r="G101" s="44"/>
      <x:c r="H101" s="44"/>
      <x:c r="I101" s="58"/>
      <x:c r="J101" s="53"/>
      <x:c r="K101" s="44"/>
      <x:c r="L101" s="46" t="str">
        <x:f>IF(A101="","",COUNTIF('LÍNEAS-DE-PEDIDO'!$B$11:$B$210,A101))</x:f>
      </x:c>
      <x:c r="M101" s="59" t="str">
        <x:f>IF(A101="","",SUMIF('LÍNEAS-DE-PEDIDO'!$B$11:$B$210,A101,'LÍNEAS-DE-PEDIDO'!$M$11:$M$210))</x:f>
      </x:c>
      <x:c r="N101" s="59" t="str">
        <x:f>IF(A101="","",M101*I101)</x:f>
      </x:c>
      <x:c r="O101" s="59" t="str">
        <x:f>IF(A101="","",M101+N101+J101)</x:f>
      </x:c>
      <x:c r="P101" s="59" t="str">
        <x:f>IF(A101="","",SUMIF('LÍNEAS-DE-PEDIDO'!$B$11:$B$210,A101,'LÍNEAS-DE-PEDIDO'!$N$11:$N$210))</x:f>
      </x:c>
      <x:c r="Q101" s="59" t="str">
        <x:f>IF(A101="","",IF(H101="Cancelada",0,MAX(M101-P101,0)))</x:f>
      </x:c>
      <x:c r="R101" s="60" t="str">
        <x:f>IF(A101="","",IF(M101=0,0,MIN(P101/M101,1)))</x:f>
      </x:c>
      <x:c r="S101" s="46" t="str">
        <x:f>IF(A101="","",IF(H101="Cancelada","Cancelada",IF(L101=0,"Sin líneas",IF(Q101=0,"Completa",IF(F101&lt;'CONFIGURACIÓN'!$B$7,"Vencida",IF(F101&lt;='CONFIGURACIÓN'!$B$7+'CONFIGURACIÓN'!$B$9,"Próxima a vencer","Abierta"))))))</x:f>
      </x:c>
    </x:row>
    <x:row r="102">
      <x:c r="A102" s="44"/>
      <x:c r="B102" s="51"/>
      <x:c r="C102" s="44"/>
      <x:c r="D102" s="44"/>
      <x:c r="E102" s="44"/>
      <x:c r="F102" s="51"/>
      <x:c r="G102" s="44"/>
      <x:c r="H102" s="44"/>
      <x:c r="I102" s="58"/>
      <x:c r="J102" s="53"/>
      <x:c r="K102" s="44"/>
      <x:c r="L102" s="46" t="str">
        <x:f>IF(A102="","",COUNTIF('LÍNEAS-DE-PEDIDO'!$B$11:$B$210,A102))</x:f>
      </x:c>
      <x:c r="M102" s="59" t="str">
        <x:f>IF(A102="","",SUMIF('LÍNEAS-DE-PEDIDO'!$B$11:$B$210,A102,'LÍNEAS-DE-PEDIDO'!$M$11:$M$210))</x:f>
      </x:c>
      <x:c r="N102" s="59" t="str">
        <x:f>IF(A102="","",M102*I102)</x:f>
      </x:c>
      <x:c r="O102" s="59" t="str">
        <x:f>IF(A102="","",M102+N102+J102)</x:f>
      </x:c>
      <x:c r="P102" s="59" t="str">
        <x:f>IF(A102="","",SUMIF('LÍNEAS-DE-PEDIDO'!$B$11:$B$210,A102,'LÍNEAS-DE-PEDIDO'!$N$11:$N$210))</x:f>
      </x:c>
      <x:c r="Q102" s="59" t="str">
        <x:f>IF(A102="","",IF(H102="Cancelada",0,MAX(M102-P102,0)))</x:f>
      </x:c>
      <x:c r="R102" s="60" t="str">
        <x:f>IF(A102="","",IF(M102=0,0,MIN(P102/M102,1)))</x:f>
      </x:c>
      <x:c r="S102" s="46" t="str">
        <x:f>IF(A102="","",IF(H102="Cancelada","Cancelada",IF(L102=0,"Sin líneas",IF(Q102=0,"Completa",IF(F102&lt;'CONFIGURACIÓN'!$B$7,"Vencida",IF(F102&lt;='CONFIGURACIÓN'!$B$7+'CONFIGURACIÓN'!$B$9,"Próxima a vencer","Abierta"))))))</x:f>
      </x:c>
    </x:row>
    <x:row r="103">
      <x:c r="A103" s="44"/>
      <x:c r="B103" s="51"/>
      <x:c r="C103" s="44"/>
      <x:c r="D103" s="44"/>
      <x:c r="E103" s="44"/>
      <x:c r="F103" s="51"/>
      <x:c r="G103" s="44"/>
      <x:c r="H103" s="44"/>
      <x:c r="I103" s="58"/>
      <x:c r="J103" s="53"/>
      <x:c r="K103" s="44"/>
      <x:c r="L103" s="46" t="str">
        <x:f>IF(A103="","",COUNTIF('LÍNEAS-DE-PEDIDO'!$B$11:$B$210,A103))</x:f>
      </x:c>
      <x:c r="M103" s="59" t="str">
        <x:f>IF(A103="","",SUMIF('LÍNEAS-DE-PEDIDO'!$B$11:$B$210,A103,'LÍNEAS-DE-PEDIDO'!$M$11:$M$210))</x:f>
      </x:c>
      <x:c r="N103" s="59" t="str">
        <x:f>IF(A103="","",M103*I103)</x:f>
      </x:c>
      <x:c r="O103" s="59" t="str">
        <x:f>IF(A103="","",M103+N103+J103)</x:f>
      </x:c>
      <x:c r="P103" s="59" t="str">
        <x:f>IF(A103="","",SUMIF('LÍNEAS-DE-PEDIDO'!$B$11:$B$210,A103,'LÍNEAS-DE-PEDIDO'!$N$11:$N$210))</x:f>
      </x:c>
      <x:c r="Q103" s="59" t="str">
        <x:f>IF(A103="","",IF(H103="Cancelada",0,MAX(M103-P103,0)))</x:f>
      </x:c>
      <x:c r="R103" s="60" t="str">
        <x:f>IF(A103="","",IF(M103=0,0,MIN(P103/M103,1)))</x:f>
      </x:c>
      <x:c r="S103" s="46" t="str">
        <x:f>IF(A103="","",IF(H103="Cancelada","Cancelada",IF(L103=0,"Sin líneas",IF(Q103=0,"Completa",IF(F103&lt;'CONFIGURACIÓN'!$B$7,"Vencida",IF(F103&lt;='CONFIGURACIÓN'!$B$7+'CONFIGURACIÓN'!$B$9,"Próxima a vencer","Abierta"))))))</x:f>
      </x:c>
    </x:row>
    <x:row r="104">
      <x:c r="A104" s="44"/>
      <x:c r="B104" s="51"/>
      <x:c r="C104" s="44"/>
      <x:c r="D104" s="44"/>
      <x:c r="E104" s="44"/>
      <x:c r="F104" s="51"/>
      <x:c r="G104" s="44"/>
      <x:c r="H104" s="44"/>
      <x:c r="I104" s="58"/>
      <x:c r="J104" s="53"/>
      <x:c r="K104" s="44"/>
      <x:c r="L104" s="46" t="str">
        <x:f>IF(A104="","",COUNTIF('LÍNEAS-DE-PEDIDO'!$B$11:$B$210,A104))</x:f>
      </x:c>
      <x:c r="M104" s="59" t="str">
        <x:f>IF(A104="","",SUMIF('LÍNEAS-DE-PEDIDO'!$B$11:$B$210,A104,'LÍNEAS-DE-PEDIDO'!$M$11:$M$210))</x:f>
      </x:c>
      <x:c r="N104" s="59" t="str">
        <x:f>IF(A104="","",M104*I104)</x:f>
      </x:c>
      <x:c r="O104" s="59" t="str">
        <x:f>IF(A104="","",M104+N104+J104)</x:f>
      </x:c>
      <x:c r="P104" s="59" t="str">
        <x:f>IF(A104="","",SUMIF('LÍNEAS-DE-PEDIDO'!$B$11:$B$210,A104,'LÍNEAS-DE-PEDIDO'!$N$11:$N$210))</x:f>
      </x:c>
      <x:c r="Q104" s="59" t="str">
        <x:f>IF(A104="","",IF(H104="Cancelada",0,MAX(M104-P104,0)))</x:f>
      </x:c>
      <x:c r="R104" s="60" t="str">
        <x:f>IF(A104="","",IF(M104=0,0,MIN(P104/M104,1)))</x:f>
      </x:c>
      <x:c r="S104" s="46" t="str">
        <x:f>IF(A104="","",IF(H104="Cancelada","Cancelada",IF(L104=0,"Sin líneas",IF(Q104=0,"Completa",IF(F104&lt;'CONFIGURACIÓN'!$B$7,"Vencida",IF(F104&lt;='CONFIGURACIÓN'!$B$7+'CONFIGURACIÓN'!$B$9,"Próxima a vencer","Abierta"))))))</x:f>
      </x:c>
    </x:row>
    <x:row r="105">
      <x:c r="A105" s="44"/>
      <x:c r="B105" s="51"/>
      <x:c r="C105" s="44"/>
      <x:c r="D105" s="44"/>
      <x:c r="E105" s="44"/>
      <x:c r="F105" s="51"/>
      <x:c r="G105" s="44"/>
      <x:c r="H105" s="44"/>
      <x:c r="I105" s="58"/>
      <x:c r="J105" s="53"/>
      <x:c r="K105" s="44"/>
      <x:c r="L105" s="46" t="str">
        <x:f>IF(A105="","",COUNTIF('LÍNEAS-DE-PEDIDO'!$B$11:$B$210,A105))</x:f>
      </x:c>
      <x:c r="M105" s="59" t="str">
        <x:f>IF(A105="","",SUMIF('LÍNEAS-DE-PEDIDO'!$B$11:$B$210,A105,'LÍNEAS-DE-PEDIDO'!$M$11:$M$210))</x:f>
      </x:c>
      <x:c r="N105" s="59" t="str">
        <x:f>IF(A105="","",M105*I105)</x:f>
      </x:c>
      <x:c r="O105" s="59" t="str">
        <x:f>IF(A105="","",M105+N105+J105)</x:f>
      </x:c>
      <x:c r="P105" s="59" t="str">
        <x:f>IF(A105="","",SUMIF('LÍNEAS-DE-PEDIDO'!$B$11:$B$210,A105,'LÍNEAS-DE-PEDIDO'!$N$11:$N$210))</x:f>
      </x:c>
      <x:c r="Q105" s="59" t="str">
        <x:f>IF(A105="","",IF(H105="Cancelada",0,MAX(M105-P105,0)))</x:f>
      </x:c>
      <x:c r="R105" s="60" t="str">
        <x:f>IF(A105="","",IF(M105=0,0,MIN(P105/M105,1)))</x:f>
      </x:c>
      <x:c r="S105" s="46" t="str">
        <x:f>IF(A105="","",IF(H105="Cancelada","Cancelada",IF(L105=0,"Sin líneas",IF(Q105=0,"Completa",IF(F105&lt;'CONFIGURACIÓN'!$B$7,"Vencida",IF(F105&lt;='CONFIGURACIÓN'!$B$7+'CONFIGURACIÓN'!$B$9,"Próxima a vencer","Abierta"))))))</x:f>
      </x:c>
    </x:row>
    <x:row r="106">
      <x:c r="A106" s="44"/>
      <x:c r="B106" s="51"/>
      <x:c r="C106" s="44"/>
      <x:c r="D106" s="44"/>
      <x:c r="E106" s="44"/>
      <x:c r="F106" s="51"/>
      <x:c r="G106" s="44"/>
      <x:c r="H106" s="44"/>
      <x:c r="I106" s="58"/>
      <x:c r="J106" s="53"/>
      <x:c r="K106" s="44"/>
      <x:c r="L106" s="46" t="str">
        <x:f>IF(A106="","",COUNTIF('LÍNEAS-DE-PEDIDO'!$B$11:$B$210,A106))</x:f>
      </x:c>
      <x:c r="M106" s="59" t="str">
        <x:f>IF(A106="","",SUMIF('LÍNEAS-DE-PEDIDO'!$B$11:$B$210,A106,'LÍNEAS-DE-PEDIDO'!$M$11:$M$210))</x:f>
      </x:c>
      <x:c r="N106" s="59" t="str">
        <x:f>IF(A106="","",M106*I106)</x:f>
      </x:c>
      <x:c r="O106" s="59" t="str">
        <x:f>IF(A106="","",M106+N106+J106)</x:f>
      </x:c>
      <x:c r="P106" s="59" t="str">
        <x:f>IF(A106="","",SUMIF('LÍNEAS-DE-PEDIDO'!$B$11:$B$210,A106,'LÍNEAS-DE-PEDIDO'!$N$11:$N$210))</x:f>
      </x:c>
      <x:c r="Q106" s="59" t="str">
        <x:f>IF(A106="","",IF(H106="Cancelada",0,MAX(M106-P106,0)))</x:f>
      </x:c>
      <x:c r="R106" s="60" t="str">
        <x:f>IF(A106="","",IF(M106=0,0,MIN(P106/M106,1)))</x:f>
      </x:c>
      <x:c r="S106" s="46" t="str">
        <x:f>IF(A106="","",IF(H106="Cancelada","Cancelada",IF(L106=0,"Sin líneas",IF(Q106=0,"Completa",IF(F106&lt;'CONFIGURACIÓN'!$B$7,"Vencida",IF(F106&lt;='CONFIGURACIÓN'!$B$7+'CONFIGURACIÓN'!$B$9,"Próxima a vencer","Abierta"))))))</x:f>
      </x:c>
    </x:row>
    <x:row r="107">
      <x:c r="A107" s="44"/>
      <x:c r="B107" s="51"/>
      <x:c r="C107" s="44"/>
      <x:c r="D107" s="44"/>
      <x:c r="E107" s="44"/>
      <x:c r="F107" s="51"/>
      <x:c r="G107" s="44"/>
      <x:c r="H107" s="44"/>
      <x:c r="I107" s="58"/>
      <x:c r="J107" s="53"/>
      <x:c r="K107" s="44"/>
      <x:c r="L107" s="46" t="str">
        <x:f>IF(A107="","",COUNTIF('LÍNEAS-DE-PEDIDO'!$B$11:$B$210,A107))</x:f>
      </x:c>
      <x:c r="M107" s="59" t="str">
        <x:f>IF(A107="","",SUMIF('LÍNEAS-DE-PEDIDO'!$B$11:$B$210,A107,'LÍNEAS-DE-PEDIDO'!$M$11:$M$210))</x:f>
      </x:c>
      <x:c r="N107" s="59" t="str">
        <x:f>IF(A107="","",M107*I107)</x:f>
      </x:c>
      <x:c r="O107" s="59" t="str">
        <x:f>IF(A107="","",M107+N107+J107)</x:f>
      </x:c>
      <x:c r="P107" s="59" t="str">
        <x:f>IF(A107="","",SUMIF('LÍNEAS-DE-PEDIDO'!$B$11:$B$210,A107,'LÍNEAS-DE-PEDIDO'!$N$11:$N$210))</x:f>
      </x:c>
      <x:c r="Q107" s="59" t="str">
        <x:f>IF(A107="","",IF(H107="Cancelada",0,MAX(M107-P107,0)))</x:f>
      </x:c>
      <x:c r="R107" s="60" t="str">
        <x:f>IF(A107="","",IF(M107=0,0,MIN(P107/M107,1)))</x:f>
      </x:c>
      <x:c r="S107" s="46" t="str">
        <x:f>IF(A107="","",IF(H107="Cancelada","Cancelada",IF(L107=0,"Sin líneas",IF(Q107=0,"Completa",IF(F107&lt;'CONFIGURACIÓN'!$B$7,"Vencida",IF(F107&lt;='CONFIGURACIÓN'!$B$7+'CONFIGURACIÓN'!$B$9,"Próxima a vencer","Abierta"))))))</x:f>
      </x:c>
    </x:row>
    <x:row r="108">
      <x:c r="A108" s="44"/>
      <x:c r="B108" s="51"/>
      <x:c r="C108" s="44"/>
      <x:c r="D108" s="44"/>
      <x:c r="E108" s="44"/>
      <x:c r="F108" s="51"/>
      <x:c r="G108" s="44"/>
      <x:c r="H108" s="44"/>
      <x:c r="I108" s="58"/>
      <x:c r="J108" s="53"/>
      <x:c r="K108" s="44"/>
      <x:c r="L108" s="46" t="str">
        <x:f>IF(A108="","",COUNTIF('LÍNEAS-DE-PEDIDO'!$B$11:$B$210,A108))</x:f>
      </x:c>
      <x:c r="M108" s="59" t="str">
        <x:f>IF(A108="","",SUMIF('LÍNEAS-DE-PEDIDO'!$B$11:$B$210,A108,'LÍNEAS-DE-PEDIDO'!$M$11:$M$210))</x:f>
      </x:c>
      <x:c r="N108" s="59" t="str">
        <x:f>IF(A108="","",M108*I108)</x:f>
      </x:c>
      <x:c r="O108" s="59" t="str">
        <x:f>IF(A108="","",M108+N108+J108)</x:f>
      </x:c>
      <x:c r="P108" s="59" t="str">
        <x:f>IF(A108="","",SUMIF('LÍNEAS-DE-PEDIDO'!$B$11:$B$210,A108,'LÍNEAS-DE-PEDIDO'!$N$11:$N$210))</x:f>
      </x:c>
      <x:c r="Q108" s="59" t="str">
        <x:f>IF(A108="","",IF(H108="Cancelada",0,MAX(M108-P108,0)))</x:f>
      </x:c>
      <x:c r="R108" s="60" t="str">
        <x:f>IF(A108="","",IF(M108=0,0,MIN(P108/M108,1)))</x:f>
      </x:c>
      <x:c r="S108" s="46" t="str">
        <x:f>IF(A108="","",IF(H108="Cancelada","Cancelada",IF(L108=0,"Sin líneas",IF(Q108=0,"Completa",IF(F108&lt;'CONFIGURACIÓN'!$B$7,"Vencida",IF(F108&lt;='CONFIGURACIÓN'!$B$7+'CONFIGURACIÓN'!$B$9,"Próxima a vencer","Abierta"))))))</x:f>
      </x:c>
    </x:row>
    <x:row r="109">
      <x:c r="A109" s="44"/>
      <x:c r="B109" s="51"/>
      <x:c r="C109" s="44"/>
      <x:c r="D109" s="44"/>
      <x:c r="E109" s="44"/>
      <x:c r="F109" s="51"/>
      <x:c r="G109" s="44"/>
      <x:c r="H109" s="44"/>
      <x:c r="I109" s="58"/>
      <x:c r="J109" s="53"/>
      <x:c r="K109" s="44"/>
      <x:c r="L109" s="46" t="str">
        <x:f>IF(A109="","",COUNTIF('LÍNEAS-DE-PEDIDO'!$B$11:$B$210,A109))</x:f>
      </x:c>
      <x:c r="M109" s="59" t="str">
        <x:f>IF(A109="","",SUMIF('LÍNEAS-DE-PEDIDO'!$B$11:$B$210,A109,'LÍNEAS-DE-PEDIDO'!$M$11:$M$210))</x:f>
      </x:c>
      <x:c r="N109" s="59" t="str">
        <x:f>IF(A109="","",M109*I109)</x:f>
      </x:c>
      <x:c r="O109" s="59" t="str">
        <x:f>IF(A109="","",M109+N109+J109)</x:f>
      </x:c>
      <x:c r="P109" s="59" t="str">
        <x:f>IF(A109="","",SUMIF('LÍNEAS-DE-PEDIDO'!$B$11:$B$210,A109,'LÍNEAS-DE-PEDIDO'!$N$11:$N$210))</x:f>
      </x:c>
      <x:c r="Q109" s="59" t="str">
        <x:f>IF(A109="","",IF(H109="Cancelada",0,MAX(M109-P109,0)))</x:f>
      </x:c>
      <x:c r="R109" s="60" t="str">
        <x:f>IF(A109="","",IF(M109=0,0,MIN(P109/M109,1)))</x:f>
      </x:c>
      <x:c r="S109" s="46" t="str">
        <x:f>IF(A109="","",IF(H109="Cancelada","Cancelada",IF(L109=0,"Sin líneas",IF(Q109=0,"Completa",IF(F109&lt;'CONFIGURACIÓN'!$B$7,"Vencida",IF(F109&lt;='CONFIGURACIÓN'!$B$7+'CONFIGURACIÓN'!$B$9,"Próxima a vencer","Abierta"))))))</x:f>
      </x:c>
    </x:row>
    <x:row r="110">
      <x:c r="A110" s="44"/>
      <x:c r="B110" s="51"/>
      <x:c r="C110" s="44"/>
      <x:c r="D110" s="44"/>
      <x:c r="E110" s="44"/>
      <x:c r="F110" s="51"/>
      <x:c r="G110" s="44"/>
      <x:c r="H110" s="44"/>
      <x:c r="I110" s="58"/>
      <x:c r="J110" s="53"/>
      <x:c r="K110" s="44"/>
      <x:c r="L110" s="46" t="str">
        <x:f>IF(A110="","",COUNTIF('LÍNEAS-DE-PEDIDO'!$B$11:$B$210,A110))</x:f>
      </x:c>
      <x:c r="M110" s="59" t="str">
        <x:f>IF(A110="","",SUMIF('LÍNEAS-DE-PEDIDO'!$B$11:$B$210,A110,'LÍNEAS-DE-PEDIDO'!$M$11:$M$210))</x:f>
      </x:c>
      <x:c r="N110" s="59" t="str">
        <x:f>IF(A110="","",M110*I110)</x:f>
      </x:c>
      <x:c r="O110" s="59" t="str">
        <x:f>IF(A110="","",M110+N110+J110)</x:f>
      </x:c>
      <x:c r="P110" s="59" t="str">
        <x:f>IF(A110="","",SUMIF('LÍNEAS-DE-PEDIDO'!$B$11:$B$210,A110,'LÍNEAS-DE-PEDIDO'!$N$11:$N$210))</x:f>
      </x:c>
      <x:c r="Q110" s="59" t="str">
        <x:f>IF(A110="","",IF(H110="Cancelada",0,MAX(M110-P110,0)))</x:f>
      </x:c>
      <x:c r="R110" s="60" t="str">
        <x:f>IF(A110="","",IF(M110=0,0,MIN(P110/M110,1)))</x:f>
      </x:c>
      <x:c r="S110" s="46" t="str">
        <x:f>IF(A110="","",IF(H110="Cancelada","Cancelada",IF(L110=0,"Sin líneas",IF(Q110=0,"Completa",IF(F110&lt;'CONFIGURACIÓN'!$B$7,"Vencida",IF(F110&lt;='CONFIGURACIÓN'!$B$7+'CONFIGURACIÓN'!$B$9,"Próxima a vencer","Abierta"))))))</x:f>
      </x:c>
    </x:row>
  </x:sheetData>
  <x:mergeCells>
    <x:mergeCell ref="A1:S2"/>
    <x:mergeCell ref="A3:S3"/>
    <x:mergeCell ref="A5:S5"/>
  </x:mergeCells>
  <x:conditionalFormatting sqref="A11:A110">
    <x:cfRule type="duplicateValues" dxfId="0" priority="1"/>
  </x:conditionalFormatting>
  <x:conditionalFormatting sqref="S11:S110">
    <x:cfRule type="containsText" dxfId="1" priority="2" operator="containsText" text="Completa"/>
    <x:cfRule type="containsText" dxfId="2" priority="3" operator="containsText" text="Vencida"/>
    <x:cfRule type="containsText" dxfId="3" priority="4" operator="containsText" text="Próxima a vencer"/>
    <x:cfRule type="containsText" dxfId="4" priority="5" operator="containsText" text="Cancelada"/>
  </x:conditionalFormatting>
  <x:dataValidations count="7">
    <x:dataValidation type="list" sqref="C11:C110">
      <x:formula1>INDIRECT("'CONFIGURACIÓN'!$E$6:$E$11")</x:formula1>
    </x:dataValidation>
    <x:dataValidation type="list" sqref="D11:D110">
      <x:formula1>INDIRECT("'CONFIGURACIÓN'!$F$6:$F$9")</x:formula1>
    </x:dataValidation>
    <x:dataValidation type="list" sqref="E11:E110">
      <x:formula1>INDIRECT("'CONFIGURACIÓN'!$G$6:$G$9")</x:formula1>
    </x:dataValidation>
    <x:dataValidation type="list" sqref="G11:G110">
      <x:formula1>INDIRECT("'CONFIGURACIÓN'!$I$6:$I$9")</x:formula1>
    </x:dataValidation>
    <x:dataValidation type="list" sqref="H11:H110">
      <x:formula1>INDIRECT("'CONFIGURACIÓN'!$J$6:$J$10")</x:formula1>
    </x:dataValidation>
    <x:dataValidation type="decimal" operator="between" sqref="I11:I110">
      <x:formula1>0</x:formula1>
      <x:formula2>1</x:formula2>
    </x:dataValidation>
    <x:dataValidation type="decimal" operator="between" sqref="J11:J110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6579c3229a694abb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30" hidden="0" customWidth="1"/>
    <x:col min="5" max="5" width="23" hidden="0" customWidth="1"/>
    <x:col min="6" max="6" width="19" hidden="0" customWidth="1"/>
    <x:col min="7" max="7" width="17" hidden="0" customWidth="1"/>
    <x:col min="8" max="8" width="20" hidden="0" customWidth="1"/>
    <x:col min="9" max="9" width="20" hidden="0" customWidth="1"/>
    <x:col min="10" max="10" width="20" hidden="0" customWidth="1"/>
    <x:col min="11" max="11" width="34" hidden="0" customWidth="1"/>
    <x:col min="12" max="12" width="19" hidden="0" customWidth="1"/>
    <x:col min="13" max="13" width="17" hidden="0" customWidth="1"/>
    <x:col min="14" max="14" width="19" hidden="0" customWidth="1"/>
    <x:col min="15" max="15" width="20" hidden="0" customWidth="1"/>
    <x:col min="16" max="16" width="20" hidden="0" customWidth="1"/>
    <x:col min="17" max="17" width="23" hidden="0" customWidth="1"/>
  </x:cols>
  <x:sheetData>
    <x:row r="1" ht="26" customHeight="1">
      <x:c r="A1" s="5" t="str">
        <x:v>LÍNEAS DE PEDIDO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</x:row>
    <x:row r="3" ht="28" customHeight="1">
      <x:c r="A3" s="8" t="str">
        <x:v>Registre compras y recepción actual. Las columnas azules calculan importes y estado de recepción.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>
      <x:c r="A5" s="38" t="str">
        <x:v>Introduzca 0 cuando no se haya recibido nada. El valor recibido se limita a la cantidad pedida y cualquier exceso se señala.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  <x:c r="L5" s="38"/>
      <x:c r="M5" s="38"/>
      <x:c r="N5" s="38"/>
      <x:c r="O5" s="38"/>
      <x:c r="P5" s="38"/>
      <x:c r="Q5" s="38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</x:row>
    <x:row r="10" ht="50" customHeight="1">
      <x:c r="A10" s="57" t="str">
        <x:v>ID de línea</x:v>
      </x:c>
      <x:c r="B10" s="57" t="str">
        <x:v>N.º de orden</x:v>
      </x:c>
      <x:c r="C10" s="57" t="str">
        <x:v>Código de artículo</x:v>
      </x:c>
      <x:c r="D10" s="57" t="str">
        <x:v>Descripción</x:v>
      </x:c>
      <x:c r="E10" s="57" t="str">
        <x:v>Categoría</x:v>
      </x:c>
      <x:c r="F10" s="57" t="str">
        <x:v>Cantidad pedida</x:v>
      </x:c>
      <x:c r="G10" s="57" t="str">
        <x:v>Coste unitario</x:v>
      </x:c>
      <x:c r="H10" s="57" t="str">
        <x:v>Cantidad recibida</x:v>
      </x:c>
      <x:c r="I10" s="57" t="str">
        <x:v>Fecha de recepción</x:v>
      </x:c>
      <x:c r="J10" s="57" t="str">
        <x:v>Condición</x:v>
      </x:c>
      <x:c r="K10" s="57" t="str">
        <x:v>Observaciones</x:v>
      </x:c>
      <x:c r="L10" s="57" t="str">
        <x:v>Estado de la orden</x:v>
      </x:c>
      <x:c r="M10" s="57" t="str">
        <x:v>Valor de línea</x:v>
      </x:c>
      <x:c r="N10" s="57" t="str">
        <x:v>Valor recibido</x:v>
      </x:c>
      <x:c r="O10" s="57" t="str">
        <x:v>Cantidad pendiente</x:v>
      </x:c>
      <x:c r="P10" s="57" t="str">
        <x:v>Valor pendiente</x:v>
      </x:c>
      <x:c r="Q10" s="57" t="str">
        <x:v>Aviso de recepción</x:v>
      </x:c>
    </x:row>
    <x:row r="11">
      <x:c r="A11" s="44" t="str">
        <x:v>LN-001</x:v>
      </x:c>
      <x:c r="B11" s="44" t="str">
        <x:v>PO-001</x:v>
      </x:c>
      <x:c r="C11" s="44" t="str">
        <x:v>ITM-001</x:v>
      </x:c>
      <x:c r="D11" s="44" t="str">
        <x:v>Papel A4</x:v>
      </x:c>
      <x:c r="E11" s="44" t="str">
        <x:v>Material de oficina</x:v>
      </x:c>
      <x:c r="F11" s="53" t="n">
        <x:v>50</x:v>
      </x:c>
      <x:c r="G11" s="53" t="n">
        <x:v>12</x:v>
      </x:c>
      <x:c r="H11" s="53" t="n">
        <x:v>50</x:v>
      </x:c>
      <x:c r="I11" s="51" t="n">
        <x:v>46040</x:v>
      </x:c>
      <x:c r="J11" s="44" t="str">
        <x:v>Correcto</x:v>
      </x:c>
      <x:c r="K11" s="44" t="str">
        <x:v>Recibido por completo</x:v>
      </x:c>
      <x:c r="L11" s="46" t="str">
        <x:f>IF(B11="","",IFERROR(INDEX('ÓRDENES-DE-COMPRA'!$H$11:$H$110,MATCH(B11,'ÓRDENES-DE-COMPRA'!$A$11:$A$110,0)),""))</x:f>
        <x:v>Cerrada</x:v>
      </x:c>
      <x:c r="M11" s="59" t="n">
        <x:f>IF(OR(B11="",COUNT(F11:G11)&lt;2),"",F11*G11)</x:f>
        <x:v>600</x:v>
      </x:c>
      <x:c r="N11" s="59" t="n">
        <x:f>IF(OR(B11="",COUNT(F11:H11)&lt;3),"",IF(L11="Cancelada",0,MIN(F11,H11)*G11))</x:f>
        <x:v>600</x:v>
      </x:c>
      <x:c r="O11" s="59" t="n">
        <x:f>IF(OR(B11="",COUNT(F11:H11)&lt;3),"",IF(L11="Cancelada",0,MAX(F11-H11,0)))</x:f>
        <x:v>0</x:v>
      </x:c>
      <x:c r="P11" s="59" t="n">
        <x:f>IF(COUNT(O11)=0,"",O11*G11)</x:f>
        <x:v>0</x:v>
      </x:c>
      <x:c r="Q11" s="46" t="str">
        <x:f>IF(B11="","",IF(L11="Cancelada","Cancelada",IF(COUNT(H11)=0,"Sin recibir",IF(H11=0,"Sin recibir",IF(H11&lt;F11,"Parcial",IF(H11=F11,"Completa","Recepción excedida"))))))</x:f>
        <x:v>Completa</x:v>
      </x:c>
    </x:row>
    <x:row r="12">
      <x:c r="A12" s="44" t="str">
        <x:v>LN-002</x:v>
      </x:c>
      <x:c r="B12" s="44" t="str">
        <x:v>PO-001</x:v>
      </x:c>
      <x:c r="C12" s="44" t="str">
        <x:v>ITM-002</x:v>
      </x:c>
      <x:c r="D12" s="44" t="str">
        <x:v>Tóner negro para impresora</x:v>
      </x:c>
      <x:c r="E12" s="44" t="str">
        <x:v>Material de oficina</x:v>
      </x:c>
      <x:c r="F12" s="53" t="n">
        <x:v>10</x:v>
      </x:c>
      <x:c r="G12" s="53" t="n">
        <x:v>45</x:v>
      </x:c>
      <x:c r="H12" s="53" t="n">
        <x:v>10</x:v>
      </x:c>
      <x:c r="I12" s="51" t="n">
        <x:v>46040</x:v>
      </x:c>
      <x:c r="J12" s="44" t="str">
        <x:v>Correcto</x:v>
      </x:c>
      <x:c r="K12" s="44" t="str">
        <x:v>Recibido por completo</x:v>
      </x:c>
      <x:c r="L12" s="46" t="str">
        <x:f>IF(B12="","",IFERROR(INDEX('ÓRDENES-DE-COMPRA'!$H$11:$H$110,MATCH(B12,'ÓRDENES-DE-COMPRA'!$A$11:$A$110,0)),""))</x:f>
        <x:v>Cerrada</x:v>
      </x:c>
      <x:c r="M12" s="59" t="n">
        <x:f>IF(OR(B12="",COUNT(F12:G12)&lt;2),"",F12*G12)</x:f>
        <x:v>450</x:v>
      </x:c>
      <x:c r="N12" s="59" t="n">
        <x:f>IF(OR(B12="",COUNT(F12:H12)&lt;3),"",IF(L12="Cancelada",0,MIN(F12,H12)*G12))</x:f>
        <x:v>450</x:v>
      </x:c>
      <x:c r="O12" s="59" t="n">
        <x:f>IF(OR(B12="",COUNT(F12:H12)&lt;3),"",IF(L12="Cancelada",0,MAX(F12-H12,0)))</x:f>
        <x:v>0</x:v>
      </x:c>
      <x:c r="P12" s="59" t="n">
        <x:f>IF(COUNT(O12)=0,"",O12*G12)</x:f>
        <x:v>0</x:v>
      </x:c>
      <x:c r="Q12" s="46" t="str">
        <x:f>IF(B12="","",IF(L12="Cancelada","Cancelada",IF(COUNT(H12)=0,"Sin recibir",IF(H12=0,"Sin recibir",IF(H12&lt;F12,"Parcial",IF(H12=F12,"Completa","Recepción excedida"))))))</x:f>
        <x:v>Completa</x:v>
      </x:c>
    </x:row>
    <x:row r="13">
      <x:c r="A13" s="44" t="str">
        <x:v>LN-003</x:v>
      </x:c>
      <x:c r="B13" s="44" t="str">
        <x:v>PO-002</x:v>
      </x:c>
      <x:c r="C13" s="44" t="str">
        <x:v>ITM-003</x:v>
      </x:c>
      <x:c r="D13" s="44" t="str">
        <x:v>Cajas medianas de envío</x:v>
      </x:c>
      <x:c r="E13" s="44" t="str">
        <x:v>Embalaje</x:v>
      </x:c>
      <x:c r="F13" s="53" t="n">
        <x:v>100</x:v>
      </x:c>
      <x:c r="G13" s="53" t="n">
        <x:v>6</x:v>
      </x:c>
      <x:c r="H13" s="53" t="n">
        <x:v>60</x:v>
      </x:c>
      <x:c r="I13" s="51" t="n">
        <x:v>46068</x:v>
      </x:c>
      <x:c r="J13" s="44" t="str">
        <x:v>Correcto</x:v>
      </x:c>
      <x:c r="K13" s="44" t="str">
        <x:v>Entrega parcial</x:v>
      </x:c>
      <x:c r="L13" s="46" t="str">
        <x:f>IF(B13="","",IFERROR(INDEX('ÓRDENES-DE-COMPRA'!$H$11:$H$110,MATCH(B13,'ÓRDENES-DE-COMPRA'!$A$11:$A$110,0)),""))</x:f>
        <x:v>Emitida</x:v>
      </x:c>
      <x:c r="M13" s="59" t="n">
        <x:f>IF(OR(B13="",COUNT(F13:G13)&lt;2),"",F13*G13)</x:f>
        <x:v>600</x:v>
      </x:c>
      <x:c r="N13" s="59" t="n">
        <x:f>IF(OR(B13="",COUNT(F13:H13)&lt;3),"",IF(L13="Cancelada",0,MIN(F13,H13)*G13))</x:f>
        <x:v>360</x:v>
      </x:c>
      <x:c r="O13" s="59" t="n">
        <x:f>IF(OR(B13="",COUNT(F13:H13)&lt;3),"",IF(L13="Cancelada",0,MAX(F13-H13,0)))</x:f>
        <x:v>40</x:v>
      </x:c>
      <x:c r="P13" s="59" t="n">
        <x:f>IF(COUNT(O13)=0,"",O13*G13)</x:f>
        <x:v>240</x:v>
      </x:c>
      <x:c r="Q13" s="46" t="str">
        <x:f>IF(B13="","",IF(L13="Cancelada","Cancelada",IF(COUNT(H13)=0,"Sin recibir",IF(H13=0,"Sin recibir",IF(H13&lt;F13,"Parcial",IF(H13=F13,"Completa","Recepción excedida"))))))</x:f>
        <x:v>Parcial</x:v>
      </x:c>
    </x:row>
    <x:row r="14">
      <x:c r="A14" s="44" t="str">
        <x:v>LN-004</x:v>
      </x:c>
      <x:c r="B14" s="44" t="str">
        <x:v>PO-002</x:v>
      </x:c>
      <x:c r="C14" s="44" t="str">
        <x:v>ITM-004</x:v>
      </x:c>
      <x:c r="D14" s="44" t="str">
        <x:v>Rollo de plástico de burbujas</x:v>
      </x:c>
      <x:c r="E14" s="44" t="str">
        <x:v>Embalaje</x:v>
      </x:c>
      <x:c r="F14" s="53" t="n">
        <x:v>40</x:v>
      </x:c>
      <x:c r="G14" s="53" t="n">
        <x:v>9</x:v>
      </x:c>
      <x:c r="H14" s="53" t="n">
        <x:v>40</x:v>
      </x:c>
      <x:c r="I14" s="51" t="n">
        <x:v>46067</x:v>
      </x:c>
      <x:c r="J14" s="44" t="str">
        <x:v>Correcto</x:v>
      </x:c>
      <x:c r="K14" s="44" t="str">
        <x:v>Recibido por completo</x:v>
      </x:c>
      <x:c r="L14" s="46" t="str">
        <x:f>IF(B14="","",IFERROR(INDEX('ÓRDENES-DE-COMPRA'!$H$11:$H$110,MATCH(B14,'ÓRDENES-DE-COMPRA'!$A$11:$A$110,0)),""))</x:f>
        <x:v>Emitida</x:v>
      </x:c>
      <x:c r="M14" s="59" t="n">
        <x:f>IF(OR(B14="",COUNT(F14:G14)&lt;2),"",F14*G14)</x:f>
        <x:v>360</x:v>
      </x:c>
      <x:c r="N14" s="59" t="n">
        <x:f>IF(OR(B14="",COUNT(F14:H14)&lt;3),"",IF(L14="Cancelada",0,MIN(F14,H14)*G14))</x:f>
        <x:v>360</x:v>
      </x:c>
      <x:c r="O14" s="59" t="n">
        <x:f>IF(OR(B14="",COUNT(F14:H14)&lt;3),"",IF(L14="Cancelada",0,MAX(F14-H14,0)))</x:f>
        <x:v>0</x:v>
      </x:c>
      <x:c r="P14" s="59" t="n">
        <x:f>IF(COUNT(O14)=0,"",O14*G14)</x:f>
        <x:v>0</x:v>
      </x:c>
      <x:c r="Q14" s="46" t="str">
        <x:f>IF(B14="","",IF(L14="Cancelada","Cancelada",IF(COUNT(H14)=0,"Sin recibir",IF(H14=0,"Sin recibir",IF(H14&lt;F14,"Parcial",IF(H14=F14,"Completa","Recepción excedida"))))))</x:f>
        <x:v>Completa</x:v>
      </x:c>
    </x:row>
    <x:row r="15">
      <x:c r="A15" s="44" t="str">
        <x:v>LN-005</x:v>
      </x:c>
      <x:c r="B15" s="44" t="str">
        <x:v>PO-003</x:v>
      </x:c>
      <x:c r="C15" s="44" t="str">
        <x:v>ITM-005</x:v>
      </x:c>
      <x:c r="D15" s="44" t="str">
        <x:v>Cable USB-C</x:v>
      </x:c>
      <x:c r="E15" s="44" t="str">
        <x:v>Tecnología</x:v>
      </x:c>
      <x:c r="F15" s="53" t="n">
        <x:v>25</x:v>
      </x:c>
      <x:c r="G15" s="53" t="n">
        <x:v>30</x:v>
      </x:c>
      <x:c r="H15" s="53" t="n">
        <x:v>27</x:v>
      </x:c>
      <x:c r="I15" s="51" t="n">
        <x:v>46103</x:v>
      </x:c>
      <x:c r="J15" s="44" t="str">
        <x:v>Correcto</x:v>
      </x:c>
      <x:c r="K15" s="44" t="str">
        <x:v>Se entregaron dos unidades adicionales</x:v>
      </x:c>
      <x:c r="L15" s="46" t="str">
        <x:f>IF(B15="","",IFERROR(INDEX('ÓRDENES-DE-COMPRA'!$H$11:$H$110,MATCH(B15,'ÓRDENES-DE-COMPRA'!$A$11:$A$110,0)),""))</x:f>
        <x:v>Cerrada</x:v>
      </x:c>
      <x:c r="M15" s="59" t="n">
        <x:f>IF(OR(B15="",COUNT(F15:G15)&lt;2),"",F15*G15)</x:f>
        <x:v>750</x:v>
      </x:c>
      <x:c r="N15" s="59" t="n">
        <x:f>IF(OR(B15="",COUNT(F15:H15)&lt;3),"",IF(L15="Cancelada",0,MIN(F15,H15)*G15))</x:f>
        <x:v>750</x:v>
      </x:c>
      <x:c r="O15" s="59" t="n">
        <x:f>IF(OR(B15="",COUNT(F15:H15)&lt;3),"",IF(L15="Cancelada",0,MAX(F15-H15,0)))</x:f>
        <x:v>0</x:v>
      </x:c>
      <x:c r="P15" s="59" t="n">
        <x:f>IF(COUNT(O15)=0,"",O15*G15)</x:f>
        <x:v>0</x:v>
      </x:c>
      <x:c r="Q15" s="46" t="str">
        <x:f>IF(B15="","",IF(L15="Cancelada","Cancelada",IF(COUNT(H15)=0,"Sin recibir",IF(H15=0,"Sin recibir",IF(H15&lt;F15,"Parcial",IF(H15=F15,"Completa","Recepción excedida"))))))</x:f>
        <x:v>Recepción excedida</x:v>
      </x:c>
    </x:row>
    <x:row r="16">
      <x:c r="A16" s="44" t="str">
        <x:v>LN-006</x:v>
      </x:c>
      <x:c r="B16" s="44" t="str">
        <x:v>PO-003</x:v>
      </x:c>
      <x:c r="C16" s="44" t="str">
        <x:v>ITM-006</x:v>
      </x:c>
      <x:c r="D16" s="44" t="str">
        <x:v>Escáner de códigos</x:v>
      </x:c>
      <x:c r="E16" s="44" t="str">
        <x:v>Tecnología</x:v>
      </x:c>
      <x:c r="F16" s="53" t="n">
        <x:v>4</x:v>
      </x:c>
      <x:c r="G16" s="53" t="n">
        <x:v>280</x:v>
      </x:c>
      <x:c r="H16" s="53" t="n">
        <x:v>4</x:v>
      </x:c>
      <x:c r="I16" s="51" t="n">
        <x:v>46103</x:v>
      </x:c>
      <x:c r="J16" s="44" t="str">
        <x:v>Correcto</x:v>
      </x:c>
      <x:c r="K16" s="44" t="str">
        <x:v>Recibido por completo</x:v>
      </x:c>
      <x:c r="L16" s="46" t="str">
        <x:f>IF(B16="","",IFERROR(INDEX('ÓRDENES-DE-COMPRA'!$H$11:$H$110,MATCH(B16,'ÓRDENES-DE-COMPRA'!$A$11:$A$110,0)),""))</x:f>
        <x:v>Cerrada</x:v>
      </x:c>
      <x:c r="M16" s="59" t="n">
        <x:f>IF(OR(B16="",COUNT(F16:G16)&lt;2),"",F16*G16)</x:f>
        <x:v>1120</x:v>
      </x:c>
      <x:c r="N16" s="59" t="n">
        <x:f>IF(OR(B16="",COUNT(F16:H16)&lt;3),"",IF(L16="Cancelada",0,MIN(F16,H16)*G16))</x:f>
        <x:v>1120</x:v>
      </x:c>
      <x:c r="O16" s="59" t="n">
        <x:f>IF(OR(B16="",COUNT(F16:H16)&lt;3),"",IF(L16="Cancelada",0,MAX(F16-H16,0)))</x:f>
        <x:v>0</x:v>
      </x:c>
      <x:c r="P16" s="59" t="n">
        <x:f>IF(COUNT(O16)=0,"",O16*G16)</x:f>
        <x:v>0</x:v>
      </x:c>
      <x:c r="Q16" s="46" t="str">
        <x:f>IF(B16="","",IF(L16="Cancelada","Cancelada",IF(COUNT(H16)=0,"Sin recibir",IF(H16=0,"Sin recibir",IF(H16&lt;F16,"Parcial",IF(H16=F16,"Completa","Recepción excedida"))))))</x:f>
        <x:v>Completa</x:v>
      </x:c>
    </x:row>
    <x:row r="17">
      <x:c r="A17" s="44" t="str">
        <x:v>LN-007</x:v>
      </x:c>
      <x:c r="B17" s="44" t="str">
        <x:v>PO-004</x:v>
      </x:c>
      <x:c r="C17" s="44" t="str">
        <x:v>ITM-007</x:v>
      </x:c>
      <x:c r="D17" s="44" t="str">
        <x:v>Limpiador de superficies</x:v>
      </x:c>
      <x:c r="E17" s="44" t="str">
        <x:v>Limpieza</x:v>
      </x:c>
      <x:c r="F17" s="53" t="n">
        <x:v>30</x:v>
      </x:c>
      <x:c r="G17" s="53" t="n">
        <x:v>18</x:v>
      </x:c>
      <x:c r="H17" s="53" t="n">
        <x:v>20</x:v>
      </x:c>
      <x:c r="I17" s="51" t="n">
        <x:v>46132</x:v>
      </x:c>
      <x:c r="J17" s="44" t="str">
        <x:v>Correcto</x:v>
      </x:c>
      <x:c r="K17" s="44" t="str">
        <x:v>Entrega parcial</x:v>
      </x:c>
      <x:c r="L17" s="46" t="str">
        <x:f>IF(B17="","",IFERROR(INDEX('ÓRDENES-DE-COMPRA'!$H$11:$H$110,MATCH(B17,'ÓRDENES-DE-COMPRA'!$A$11:$A$110,0)),""))</x:f>
        <x:v>Emitida</x:v>
      </x:c>
      <x:c r="M17" s="59" t="n">
        <x:f>IF(OR(B17="",COUNT(F17:G17)&lt;2),"",F17*G17)</x:f>
        <x:v>540</x:v>
      </x:c>
      <x:c r="N17" s="59" t="n">
        <x:f>IF(OR(B17="",COUNT(F17:H17)&lt;3),"",IF(L17="Cancelada",0,MIN(F17,H17)*G17))</x:f>
        <x:v>360</x:v>
      </x:c>
      <x:c r="O17" s="59" t="n">
        <x:f>IF(OR(B17="",COUNT(F17:H17)&lt;3),"",IF(L17="Cancelada",0,MAX(F17-H17,0)))</x:f>
        <x:v>10</x:v>
      </x:c>
      <x:c r="P17" s="59" t="n">
        <x:f>IF(COUNT(O17)=0,"",O17*G17)</x:f>
        <x:v>180</x:v>
      </x:c>
      <x:c r="Q17" s="46" t="str">
        <x:f>IF(B17="","",IF(L17="Cancelada","Cancelada",IF(COUNT(H17)=0,"Sin recibir",IF(H17=0,"Sin recibir",IF(H17&lt;F17,"Parcial",IF(H17=F17,"Completa","Recepción excedida"))))))</x:f>
        <x:v>Parcial</x:v>
      </x:c>
    </x:row>
    <x:row r="18">
      <x:c r="A18" s="44" t="str">
        <x:v>LN-008</x:v>
      </x:c>
      <x:c r="B18" s="44" t="str">
        <x:v>PO-004</x:v>
      </x:c>
      <x:c r="C18" s="44" t="str">
        <x:v>ITM-008</x:v>
      </x:c>
      <x:c r="D18" s="44" t="str">
        <x:v>Recarga de jabón de manos</x:v>
      </x:c>
      <x:c r="E18" s="44" t="str">
        <x:v>Limpieza</x:v>
      </x:c>
      <x:c r="F18" s="53" t="n">
        <x:v>40</x:v>
      </x:c>
      <x:c r="G18" s="53" t="n">
        <x:v>10</x:v>
      </x:c>
      <x:c r="H18" s="53" t="n">
        <x:v>30</x:v>
      </x:c>
      <x:c r="I18" s="51" t="n">
        <x:v>46132</x:v>
      </x:c>
      <x:c r="J18" s="44" t="str">
        <x:v>Dañado</x:v>
      </x:c>
      <x:c r="K18" s="44" t="str">
        <x:v>Diez unidades pendientes de inspección</x:v>
      </x:c>
      <x:c r="L18" s="46" t="str">
        <x:f>IF(B18="","",IFERROR(INDEX('ÓRDENES-DE-COMPRA'!$H$11:$H$110,MATCH(B18,'ÓRDENES-DE-COMPRA'!$A$11:$A$110,0)),""))</x:f>
        <x:v>Emitida</x:v>
      </x:c>
      <x:c r="M18" s="59" t="n">
        <x:f>IF(OR(B18="",COUNT(F18:G18)&lt;2),"",F18*G18)</x:f>
        <x:v>400</x:v>
      </x:c>
      <x:c r="N18" s="59" t="n">
        <x:f>IF(OR(B18="",COUNT(F18:H18)&lt;3),"",IF(L18="Cancelada",0,MIN(F18,H18)*G18))</x:f>
        <x:v>300</x:v>
      </x:c>
      <x:c r="O18" s="59" t="n">
        <x:f>IF(OR(B18="",COUNT(F18:H18)&lt;3),"",IF(L18="Cancelada",0,MAX(F18-H18,0)))</x:f>
        <x:v>10</x:v>
      </x:c>
      <x:c r="P18" s="59" t="n">
        <x:f>IF(COUNT(O18)=0,"",O18*G18)</x:f>
        <x:v>100</x:v>
      </x:c>
      <x:c r="Q18" s="46" t="str">
        <x:f>IF(B18="","",IF(L18="Cancelada","Cancelada",IF(COUNT(H18)=0,"Sin recibir",IF(H18=0,"Sin recibir",IF(H18&lt;F18,"Parcial",IF(H18=F18,"Completa","Recepción excedida"))))))</x:f>
        <x:v>Parcial</x:v>
      </x:c>
    </x:row>
    <x:row r="19">
      <x:c r="A19" s="44" t="str">
        <x:v>LN-009</x:v>
      </x:c>
      <x:c r="B19" s="44" t="str">
        <x:v>PO-005</x:v>
      </x:c>
      <x:c r="C19" s="44" t="str">
        <x:v>ITM-009</x:v>
      </x:c>
      <x:c r="D19" s="44" t="str">
        <x:v>Café en grano 1 kg</x:v>
      </x:c>
      <x:c r="E19" s="44" t="str">
        <x:v>Alimentos y bebidas</x:v>
      </x:c>
      <x:c r="F19" s="53" t="n">
        <x:v>30</x:v>
      </x:c>
      <x:c r="G19" s="53" t="n">
        <x:v>55</x:v>
      </x:c>
      <x:c r="H19" s="53" t="n">
        <x:v>0</x:v>
      </x:c>
      <x:c r="I19" s="51"/>
      <x:c r="J19" s="44" t="str">
        <x:v>Correcto</x:v>
      </x:c>
      <x:c r="K19" s="44" t="str">
        <x:v>Cancelada con la orden</x:v>
      </x:c>
      <x:c r="L19" s="46" t="str">
        <x:f>IF(B19="","",IFERROR(INDEX('ÓRDENES-DE-COMPRA'!$H$11:$H$110,MATCH(B19,'ÓRDENES-DE-COMPRA'!$A$11:$A$110,0)),""))</x:f>
        <x:v>Cancelada</x:v>
      </x:c>
      <x:c r="M19" s="59" t="n">
        <x:f>IF(OR(B19="",COUNT(F19:G19)&lt;2),"",F19*G19)</x:f>
        <x:v>1650</x:v>
      </x:c>
      <x:c r="N19" s="59" t="n">
        <x:f>IF(OR(B19="",COUNT(F19:H19)&lt;3),"",IF(L19="Cancelada",0,MIN(F19,H19)*G19))</x:f>
        <x:v>0</x:v>
      </x:c>
      <x:c r="O19" s="59" t="n">
        <x:f>IF(OR(B19="",COUNT(F19:H19)&lt;3),"",IF(L19="Cancelada",0,MAX(F19-H19,0)))</x:f>
        <x:v>0</x:v>
      </x:c>
      <x:c r="P19" s="59" t="n">
        <x:f>IF(COUNT(O19)=0,"",O19*G19)</x:f>
        <x:v>0</x:v>
      </x:c>
      <x:c r="Q19" s="46" t="str">
        <x:f>IF(B19="","",IF(L19="Cancelada","Cancelada",IF(COUNT(H19)=0,"Sin recibir",IF(H19=0,"Sin recibir",IF(H19&lt;F19,"Parcial",IF(H19=F19,"Completa","Recepción excedida"))))))</x:f>
        <x:v>Cancelada</x:v>
      </x:c>
    </x:row>
    <x:row r="20">
      <x:c r="A20" s="44" t="str">
        <x:v>LN-010</x:v>
      </x:c>
      <x:c r="B20" s="44" t="str">
        <x:v>PO-006</x:v>
      </x:c>
      <x:c r="C20" s="44" t="str">
        <x:v>ITM-010</x:v>
      </x:c>
      <x:c r="D20" s="44" t="str">
        <x:v>Guantes de seguridad</x:v>
      </x:c>
      <x:c r="E20" s="44" t="str">
        <x:v>Equipos de seguridad</x:v>
      </x:c>
      <x:c r="F20" s="53" t="n">
        <x:v>60</x:v>
      </x:c>
      <x:c r="G20" s="53" t="n">
        <x:v>14</x:v>
      </x:c>
      <x:c r="H20" s="53" t="n">
        <x:v>0</x:v>
      </x:c>
      <x:c r="I20" s="51"/>
      <x:c r="J20" s="44" t="str">
        <x:v>Correcto</x:v>
      </x:c>
      <x:c r="K20" s="44" t="str">
        <x:v>Pendiente de expedición</x:v>
      </x:c>
      <x:c r="L20" s="46" t="str">
        <x:f>IF(B20="","",IFERROR(INDEX('ÓRDENES-DE-COMPRA'!$H$11:$H$110,MATCH(B20,'ÓRDENES-DE-COMPRA'!$A$11:$A$110,0)),""))</x:f>
        <x:v>Aprobada</x:v>
      </x:c>
      <x:c r="M20" s="59" t="n">
        <x:f>IF(OR(B20="",COUNT(F20:G20)&lt;2),"",F20*G20)</x:f>
        <x:v>840</x:v>
      </x:c>
      <x:c r="N20" s="59" t="n">
        <x:f>IF(OR(B20="",COUNT(F20:H20)&lt;3),"",IF(L20="Cancelada",0,MIN(F20,H20)*G20))</x:f>
        <x:v>0</x:v>
      </x:c>
      <x:c r="O20" s="59" t="n">
        <x:f>IF(OR(B20="",COUNT(F20:H20)&lt;3),"",IF(L20="Cancelada",0,MAX(F20-H20,0)))</x:f>
        <x:v>60</x:v>
      </x:c>
      <x:c r="P20" s="59" t="n">
        <x:f>IF(COUNT(O20)=0,"",O20*G20)</x:f>
        <x:v>840</x:v>
      </x:c>
      <x:c r="Q20" s="46" t="str">
        <x:f>IF(B20="","",IF(L20="Cancelada","Cancelada",IF(COUNT(H20)=0,"Sin recibir",IF(H20=0,"Sin recibir",IF(H20&lt;F20,"Parcial",IF(H20=F20,"Completa","Recepción excedida"))))))</x:f>
        <x:v>Sin recibir</x:v>
      </x:c>
    </x:row>
    <x:row r="21">
      <x:c r="A21" s="44" t="str">
        <x:v>LN-011</x:v>
      </x:c>
      <x:c r="B21" s="44" t="str">
        <x:v>PO-006</x:v>
      </x:c>
      <x:c r="C21" s="44" t="str">
        <x:v>ITM-011</x:v>
      </x:c>
      <x:c r="D21" s="44" t="str">
        <x:v>Botiquín de primeros auxilios</x:v>
      </x:c>
      <x:c r="E21" s="44" t="str">
        <x:v>Equipos de seguridad</x:v>
      </x:c>
      <x:c r="F21" s="53" t="n">
        <x:v>10</x:v>
      </x:c>
      <x:c r="G21" s="53" t="n">
        <x:v>75</x:v>
      </x:c>
      <x:c r="H21" s="53" t="n">
        <x:v>0</x:v>
      </x:c>
      <x:c r="I21" s="51"/>
      <x:c r="J21" s="44" t="str">
        <x:v>Correcto</x:v>
      </x:c>
      <x:c r="K21" s="44" t="str">
        <x:v>Pendiente de expedición</x:v>
      </x:c>
      <x:c r="L21" s="46" t="str">
        <x:f>IF(B21="","",IFERROR(INDEX('ÓRDENES-DE-COMPRA'!$H$11:$H$110,MATCH(B21,'ÓRDENES-DE-COMPRA'!$A$11:$A$110,0)),""))</x:f>
        <x:v>Aprobada</x:v>
      </x:c>
      <x:c r="M21" s="59" t="n">
        <x:f>IF(OR(B21="",COUNT(F21:G21)&lt;2),"",F21*G21)</x:f>
        <x:v>750</x:v>
      </x:c>
      <x:c r="N21" s="59" t="n">
        <x:f>IF(OR(B21="",COUNT(F21:H21)&lt;3),"",IF(L21="Cancelada",0,MIN(F21,H21)*G21))</x:f>
        <x:v>0</x:v>
      </x:c>
      <x:c r="O21" s="59" t="n">
        <x:f>IF(OR(B21="",COUNT(F21:H21)&lt;3),"",IF(L21="Cancelada",0,MAX(F21-H21,0)))</x:f>
        <x:v>10</x:v>
      </x:c>
      <x:c r="P21" s="59" t="n">
        <x:f>IF(COUNT(O21)=0,"",O21*G21)</x:f>
        <x:v>750</x:v>
      </x:c>
      <x:c r="Q21" s="46" t="str">
        <x:f>IF(B21="","",IF(L21="Cancelada","Cancelada",IF(COUNT(H21)=0,"Sin recibir",IF(H21=0,"Sin recibir",IF(H21&lt;F21,"Parcial",IF(H21=F21,"Completa","Recepción excedida"))))))</x:f>
        <x:v>Sin recibir</x:v>
      </x:c>
    </x:row>
    <x:row r="22">
      <x:c r="A22" s="44" t="str">
        <x:v>LN-012</x:v>
      </x:c>
      <x:c r="B22" s="44" t="str">
        <x:v>PO-007</x:v>
      </x:c>
      <x:c r="C22" s="44" t="str">
        <x:v>ITM-001</x:v>
      </x:c>
      <x:c r="D22" s="44" t="str">
        <x:v>Papel A4</x:v>
      </x:c>
      <x:c r="E22" s="44" t="str">
        <x:v>Material de oficina</x:v>
      </x:c>
      <x:c r="F22" s="53" t="n">
        <x:v>80</x:v>
      </x:c>
      <x:c r="G22" s="53" t="n">
        <x:v>12</x:v>
      </x:c>
      <x:c r="H22" s="53" t="n">
        <x:v>50</x:v>
      </x:c>
      <x:c r="I22" s="51" t="n">
        <x:v>46223</x:v>
      </x:c>
      <x:c r="J22" s="44" t="str">
        <x:v>Correcto</x:v>
      </x:c>
      <x:c r="K22" s="44" t="str">
        <x:v>Entrega parcial</x:v>
      </x:c>
      <x:c r="L22" s="46" t="str">
        <x:f>IF(B22="","",IFERROR(INDEX('ÓRDENES-DE-COMPRA'!$H$11:$H$110,MATCH(B22,'ÓRDENES-DE-COMPRA'!$A$11:$A$110,0)),""))</x:f>
        <x:v>Emitida</x:v>
      </x:c>
      <x:c r="M22" s="59" t="n">
        <x:f>IF(OR(B22="",COUNT(F22:G22)&lt;2),"",F22*G22)</x:f>
        <x:v>960</x:v>
      </x:c>
      <x:c r="N22" s="59" t="n">
        <x:f>IF(OR(B22="",COUNT(F22:H22)&lt;3),"",IF(L22="Cancelada",0,MIN(F22,H22)*G22))</x:f>
        <x:v>600</x:v>
      </x:c>
      <x:c r="O22" s="59" t="n">
        <x:f>IF(OR(B22="",COUNT(F22:H22)&lt;3),"",IF(L22="Cancelada",0,MAX(F22-H22,0)))</x:f>
        <x:v>30</x:v>
      </x:c>
      <x:c r="P22" s="59" t="n">
        <x:f>IF(COUNT(O22)=0,"",O22*G22)</x:f>
        <x:v>360</x:v>
      </x:c>
      <x:c r="Q22" s="46" t="str">
        <x:f>IF(B22="","",IF(L22="Cancelada","Cancelada",IF(COUNT(H22)=0,"Sin recibir",IF(H22=0,"Sin recibir",IF(H22&lt;F22,"Parcial",IF(H22=F22,"Completa","Recepción excedida"))))))</x:f>
        <x:v>Parcial</x:v>
      </x:c>
    </x:row>
    <x:row r="23">
      <x:c r="A23" s="44" t="str">
        <x:v>LN-013</x:v>
      </x:c>
      <x:c r="B23" s="44" t="str">
        <x:v>PO-007</x:v>
      </x:c>
      <x:c r="C23" s="44" t="str">
        <x:v>ITM-012</x:v>
      </x:c>
      <x:c r="D23" s="44" t="str">
        <x:v>Carpetas para documentos</x:v>
      </x:c>
      <x:c r="E23" s="44" t="str">
        <x:v>Material de oficina</x:v>
      </x:c>
      <x:c r="F23" s="53" t="n">
        <x:v>40</x:v>
      </x:c>
      <x:c r="G23" s="53" t="n">
        <x:v>8</x:v>
      </x:c>
      <x:c r="H23" s="53" t="n">
        <x:v>40</x:v>
      </x:c>
      <x:c r="I23" s="51" t="n">
        <x:v>46223</x:v>
      </x:c>
      <x:c r="J23" s="44" t="str">
        <x:v>Correcto</x:v>
      </x:c>
      <x:c r="K23" s="44" t="str">
        <x:v>Recibido por completo</x:v>
      </x:c>
      <x:c r="L23" s="46" t="str">
        <x:f>IF(B23="","",IFERROR(INDEX('ÓRDENES-DE-COMPRA'!$H$11:$H$110,MATCH(B23,'ÓRDENES-DE-COMPRA'!$A$11:$A$110,0)),""))</x:f>
        <x:v>Emitida</x:v>
      </x:c>
      <x:c r="M23" s="59" t="n">
        <x:f>IF(OR(B23="",COUNT(F23:G23)&lt;2),"",F23*G23)</x:f>
        <x:v>320</x:v>
      </x:c>
      <x:c r="N23" s="59" t="n">
        <x:f>IF(OR(B23="",COUNT(F23:H23)&lt;3),"",IF(L23="Cancelada",0,MIN(F23,H23)*G23))</x:f>
        <x:v>320</x:v>
      </x:c>
      <x:c r="O23" s="59" t="n">
        <x:f>IF(OR(B23="",COUNT(F23:H23)&lt;3),"",IF(L23="Cancelada",0,MAX(F23-H23,0)))</x:f>
        <x:v>0</x:v>
      </x:c>
      <x:c r="P23" s="59" t="n">
        <x:f>IF(COUNT(O23)=0,"",O23*G23)</x:f>
        <x:v>0</x:v>
      </x:c>
      <x:c r="Q23" s="46" t="str">
        <x:f>IF(B23="","",IF(L23="Cancelada","Cancelada",IF(COUNT(H23)=0,"Sin recibir",IF(H23=0,"Sin recibir",IF(H23&lt;F23,"Parcial",IF(H23=F23,"Completa","Recepción excedida"))))))</x:f>
        <x:v>Completa</x:v>
      </x:c>
    </x:row>
    <x:row r="24">
      <x:c r="A24" s="44" t="str">
        <x:v>LN-014</x:v>
      </x:c>
      <x:c r="B24" s="44" t="str">
        <x:v>PO-008</x:v>
      </x:c>
      <x:c r="C24" s="44" t="str">
        <x:v>ITM-003</x:v>
      </x:c>
      <x:c r="D24" s="44" t="str">
        <x:v>Cajas medianas de envío</x:v>
      </x:c>
      <x:c r="E24" s="44" t="str">
        <x:v>Embalaje</x:v>
      </x:c>
      <x:c r="F24" s="53" t="n">
        <x:v>150</x:v>
      </x:c>
      <x:c r="G24" s="53" t="n">
        <x:v>6</x:v>
      </x:c>
      <x:c r="H24" s="53" t="n">
        <x:v>0</x:v>
      </x:c>
      <x:c r="I24" s="51"/>
      <x:c r="J24" s="44" t="str">
        <x:v>Correcto</x:v>
      </x:c>
      <x:c r="K24" s="44" t="str">
        <x:v>Pendiente de expedición</x:v>
      </x:c>
      <x:c r="L24" s="46" t="str">
        <x:f>IF(B24="","",IFERROR(INDEX('ÓRDENES-DE-COMPRA'!$H$11:$H$110,MATCH(B24,'ÓRDENES-DE-COMPRA'!$A$11:$A$110,0)),""))</x:f>
        <x:v>Aprobada</x:v>
      </x:c>
      <x:c r="M24" s="59" t="n">
        <x:f>IF(OR(B24="",COUNT(F24:G24)&lt;2),"",F24*G24)</x:f>
        <x:v>900</x:v>
      </x:c>
      <x:c r="N24" s="59" t="n">
        <x:f>IF(OR(B24="",COUNT(F24:H24)&lt;3),"",IF(L24="Cancelada",0,MIN(F24,H24)*G24))</x:f>
        <x:v>0</x:v>
      </x:c>
      <x:c r="O24" s="59" t="n">
        <x:f>IF(OR(B24="",COUNT(F24:H24)&lt;3),"",IF(L24="Cancelada",0,MAX(F24-H24,0)))</x:f>
        <x:v>150</x:v>
      </x:c>
      <x:c r="P24" s="59" t="n">
        <x:f>IF(COUNT(O24)=0,"",O24*G24)</x:f>
        <x:v>900</x:v>
      </x:c>
      <x:c r="Q24" s="46" t="str">
        <x:f>IF(B24="","",IF(L24="Cancelada","Cancelada",IF(COUNT(H24)=0,"Sin recibir",IF(H24=0,"Sin recibir",IF(H24&lt;F24,"Parcial",IF(H24=F24,"Completa","Recepción excedida"))))))</x:f>
        <x:v>Sin recibir</x:v>
      </x:c>
    </x:row>
    <x:row r="25">
      <x:c r="A25" s="44" t="str">
        <x:v>LN-015</x:v>
      </x:c>
      <x:c r="B25" s="44" t="str">
        <x:v>PO-008</x:v>
      </x:c>
      <x:c r="C25" s="44" t="str">
        <x:v>ITM-013</x:v>
      </x:c>
      <x:c r="D25" s="44" t="str">
        <x:v>Cinta de embalaje</x:v>
      </x:c>
      <x:c r="E25" s="44" t="str">
        <x:v>Embalaje</x:v>
      </x:c>
      <x:c r="F25" s="53" t="n">
        <x:v>60</x:v>
      </x:c>
      <x:c r="G25" s="53" t="n">
        <x:v>5</x:v>
      </x:c>
      <x:c r="H25" s="53" t="n">
        <x:v>0</x:v>
      </x:c>
      <x:c r="I25" s="51"/>
      <x:c r="J25" s="44" t="str">
        <x:v>Correcto</x:v>
      </x:c>
      <x:c r="K25" s="44" t="str">
        <x:v>Pendiente de expedición</x:v>
      </x:c>
      <x:c r="L25" s="46" t="str">
        <x:f>IF(B25="","",IFERROR(INDEX('ÓRDENES-DE-COMPRA'!$H$11:$H$110,MATCH(B25,'ÓRDENES-DE-COMPRA'!$A$11:$A$110,0)),""))</x:f>
        <x:v>Aprobada</x:v>
      </x:c>
      <x:c r="M25" s="59" t="n">
        <x:f>IF(OR(B25="",COUNT(F25:G25)&lt;2),"",F25*G25)</x:f>
        <x:v>300</x:v>
      </x:c>
      <x:c r="N25" s="59" t="n">
        <x:f>IF(OR(B25="",COUNT(F25:H25)&lt;3),"",IF(L25="Cancelada",0,MIN(F25,H25)*G25))</x:f>
        <x:v>0</x:v>
      </x:c>
      <x:c r="O25" s="59" t="n">
        <x:f>IF(OR(B25="",COUNT(F25:H25)&lt;3),"",IF(L25="Cancelada",0,MAX(F25-H25,0)))</x:f>
        <x:v>60</x:v>
      </x:c>
      <x:c r="P25" s="59" t="n">
        <x:f>IF(COUNT(O25)=0,"",O25*G25)</x:f>
        <x:v>300</x:v>
      </x:c>
      <x:c r="Q25" s="46" t="str">
        <x:f>IF(B25="","",IF(L25="Cancelada","Cancelada",IF(COUNT(H25)=0,"Sin recibir",IF(H25=0,"Sin recibir",IF(H25&lt;F25,"Parcial",IF(H25=F25,"Completa","Recepción excedida"))))))</x:f>
        <x:v>Sin recibir</x:v>
      </x:c>
    </x:row>
    <x:row r="26">
      <x:c r="A26" s="44" t="str">
        <x:v>LN-016</x:v>
      </x:c>
      <x:c r="B26" s="44" t="str">
        <x:v>PO-004</x:v>
      </x:c>
      <x:c r="C26" s="44" t="str">
        <x:v>ITM-014</x:v>
      </x:c>
      <x:c r="D26" s="44" t="str">
        <x:v>Muestra de entrega</x:v>
      </x:c>
      <x:c r="E26" s="44" t="str">
        <x:v>Limpieza</x:v>
      </x:c>
      <x:c r="F26" s="53" t="n">
        <x:v>5</x:v>
      </x:c>
      <x:c r="G26" s="53" t="n">
        <x:v>0</x:v>
      </x:c>
      <x:c r="H26" s="53" t="n">
        <x:v>5</x:v>
      </x:c>
      <x:c r="I26" s="51" t="n">
        <x:v>46132</x:v>
      </x:c>
      <x:c r="J26" s="44" t="str">
        <x:v>Correcto</x:v>
      </x:c>
      <x:c r="K26" s="44" t="str">
        <x:v>Muestra sin cargo</x:v>
      </x:c>
      <x:c r="L26" s="46" t="str">
        <x:f>IF(B26="","",IFERROR(INDEX('ÓRDENES-DE-COMPRA'!$H$11:$H$110,MATCH(B26,'ÓRDENES-DE-COMPRA'!$A$11:$A$110,0)),""))</x:f>
        <x:v>Emitida</x:v>
      </x:c>
      <x:c r="M26" s="59" t="n">
        <x:f>IF(OR(B26="",COUNT(F26:G26)&lt;2),"",F26*G26)</x:f>
        <x:v>0</x:v>
      </x:c>
      <x:c r="N26" s="59" t="n">
        <x:f>IF(OR(B26="",COUNT(F26:H26)&lt;3),"",IF(L26="Cancelada",0,MIN(F26,H26)*G26))</x:f>
        <x:v>0</x:v>
      </x:c>
      <x:c r="O26" s="59" t="n">
        <x:f>IF(OR(B26="",COUNT(F26:H26)&lt;3),"",IF(L26="Cancelada",0,MAX(F26-H26,0)))</x:f>
        <x:v>0</x:v>
      </x:c>
      <x:c r="P26" s="59" t="n">
        <x:f>IF(COUNT(O26)=0,"",O26*G26)</x:f>
        <x:v>0</x:v>
      </x:c>
      <x:c r="Q26" s="46" t="str">
        <x:f>IF(B26="","",IF(L26="Cancelada","Cancelada",IF(COUNT(H26)=0,"Sin recibir",IF(H26=0,"Sin recibir",IF(H26&lt;F26,"Parcial",IF(H26=F26,"Completa","Recepción excedida"))))))</x:f>
        <x:v>Completa</x:v>
      </x:c>
    </x:row>
    <x:row r="27">
      <x:c r="A27" s="44"/>
      <x:c r="B27" s="44"/>
      <x:c r="C27" s="44"/>
      <x:c r="D27" s="44"/>
      <x:c r="E27" s="44"/>
      <x:c r="F27" s="53"/>
      <x:c r="G27" s="53"/>
      <x:c r="H27" s="53"/>
      <x:c r="I27" s="51"/>
      <x:c r="J27" s="44"/>
      <x:c r="K27" s="44"/>
      <x:c r="L27" s="46" t="str">
        <x:f>IF(B27="","",IFERROR(INDEX('ÓRDENES-DE-COMPRA'!$H$11:$H$110,MATCH(B27,'ÓRDENES-DE-COMPRA'!$A$11:$A$110,0)),""))</x:f>
      </x:c>
      <x:c r="M27" s="59" t="str">
        <x:f>IF(OR(B27="",COUNT(F27:G27)&lt;2),"",F27*G27)</x:f>
      </x:c>
      <x:c r="N27" s="59" t="str">
        <x:f>IF(OR(B27="",COUNT(F27:H27)&lt;3),"",IF(L27="Cancelada",0,MIN(F27,H27)*G27))</x:f>
      </x:c>
      <x:c r="O27" s="59" t="str">
        <x:f>IF(OR(B27="",COUNT(F27:H27)&lt;3),"",IF(L27="Cancelada",0,MAX(F27-H27,0)))</x:f>
      </x:c>
      <x:c r="P27" s="59" t="str">
        <x:f>IF(COUNT(O27)=0,"",O27*G27)</x:f>
      </x:c>
      <x:c r="Q27" s="46" t="str">
        <x:f>IF(B27="","",IF(L27="Cancelada","Cancelada",IF(COUNT(H27)=0,"Sin recibir",IF(H27=0,"Sin recibir",IF(H27&lt;F27,"Parcial",IF(H27=F27,"Completa","Recepción excedida"))))))</x:f>
      </x:c>
    </x:row>
    <x:row r="28">
      <x:c r="A28" s="44"/>
      <x:c r="B28" s="44"/>
      <x:c r="C28" s="44"/>
      <x:c r="D28" s="44"/>
      <x:c r="E28" s="44"/>
      <x:c r="F28" s="53"/>
      <x:c r="G28" s="53"/>
      <x:c r="H28" s="53"/>
      <x:c r="I28" s="51"/>
      <x:c r="J28" s="44"/>
      <x:c r="K28" s="44"/>
      <x:c r="L28" s="46" t="str">
        <x:f>IF(B28="","",IFERROR(INDEX('ÓRDENES-DE-COMPRA'!$H$11:$H$110,MATCH(B28,'ÓRDENES-DE-COMPRA'!$A$11:$A$110,0)),""))</x:f>
      </x:c>
      <x:c r="M28" s="59" t="str">
        <x:f>IF(OR(B28="",COUNT(F28:G28)&lt;2),"",F28*G28)</x:f>
      </x:c>
      <x:c r="N28" s="59" t="str">
        <x:f>IF(OR(B28="",COUNT(F28:H28)&lt;3),"",IF(L28="Cancelada",0,MIN(F28,H28)*G28))</x:f>
      </x:c>
      <x:c r="O28" s="59" t="str">
        <x:f>IF(OR(B28="",COUNT(F28:H28)&lt;3),"",IF(L28="Cancelada",0,MAX(F28-H28,0)))</x:f>
      </x:c>
      <x:c r="P28" s="59" t="str">
        <x:f>IF(COUNT(O28)=0,"",O28*G28)</x:f>
      </x:c>
      <x:c r="Q28" s="46" t="str">
        <x:f>IF(B28="","",IF(L28="Cancelada","Cancelada",IF(COUNT(H28)=0,"Sin recibir",IF(H28=0,"Sin recibir",IF(H28&lt;F28,"Parcial",IF(H28=F28,"Completa","Recepción excedida"))))))</x:f>
      </x:c>
    </x:row>
    <x:row r="29">
      <x:c r="A29" s="44"/>
      <x:c r="B29" s="44"/>
      <x:c r="C29" s="44"/>
      <x:c r="D29" s="44"/>
      <x:c r="E29" s="44"/>
      <x:c r="F29" s="53"/>
      <x:c r="G29" s="53"/>
      <x:c r="H29" s="53"/>
      <x:c r="I29" s="51"/>
      <x:c r="J29" s="44"/>
      <x:c r="K29" s="44"/>
      <x:c r="L29" s="46" t="str">
        <x:f>IF(B29="","",IFERROR(INDEX('ÓRDENES-DE-COMPRA'!$H$11:$H$110,MATCH(B29,'ÓRDENES-DE-COMPRA'!$A$11:$A$110,0)),""))</x:f>
      </x:c>
      <x:c r="M29" s="59" t="str">
        <x:f>IF(OR(B29="",COUNT(F29:G29)&lt;2),"",F29*G29)</x:f>
      </x:c>
      <x:c r="N29" s="59" t="str">
        <x:f>IF(OR(B29="",COUNT(F29:H29)&lt;3),"",IF(L29="Cancelada",0,MIN(F29,H29)*G29))</x:f>
      </x:c>
      <x:c r="O29" s="59" t="str">
        <x:f>IF(OR(B29="",COUNT(F29:H29)&lt;3),"",IF(L29="Cancelada",0,MAX(F29-H29,0)))</x:f>
      </x:c>
      <x:c r="P29" s="59" t="str">
        <x:f>IF(COUNT(O29)=0,"",O29*G29)</x:f>
      </x:c>
      <x:c r="Q29" s="46" t="str">
        <x:f>IF(B29="","",IF(L29="Cancelada","Cancelada",IF(COUNT(H29)=0,"Sin recibir",IF(H29=0,"Sin recibir",IF(H29&lt;F29,"Parcial",IF(H29=F29,"Completa","Recepción excedida"))))))</x:f>
      </x:c>
    </x:row>
    <x:row r="30">
      <x:c r="A30" s="44"/>
      <x:c r="B30" s="44"/>
      <x:c r="C30" s="44"/>
      <x:c r="D30" s="44"/>
      <x:c r="E30" s="44"/>
      <x:c r="F30" s="53"/>
      <x:c r="G30" s="53"/>
      <x:c r="H30" s="53"/>
      <x:c r="I30" s="51"/>
      <x:c r="J30" s="44"/>
      <x:c r="K30" s="44"/>
      <x:c r="L30" s="46" t="str">
        <x:f>IF(B30="","",IFERROR(INDEX('ÓRDENES-DE-COMPRA'!$H$11:$H$110,MATCH(B30,'ÓRDENES-DE-COMPRA'!$A$11:$A$110,0)),""))</x:f>
      </x:c>
      <x:c r="M30" s="59" t="str">
        <x:f>IF(OR(B30="",COUNT(F30:G30)&lt;2),"",F30*G30)</x:f>
      </x:c>
      <x:c r="N30" s="59" t="str">
        <x:f>IF(OR(B30="",COUNT(F30:H30)&lt;3),"",IF(L30="Cancelada",0,MIN(F30,H30)*G30))</x:f>
      </x:c>
      <x:c r="O30" s="59" t="str">
        <x:f>IF(OR(B30="",COUNT(F30:H30)&lt;3),"",IF(L30="Cancelada",0,MAX(F30-H30,0)))</x:f>
      </x:c>
      <x:c r="P30" s="59" t="str">
        <x:f>IF(COUNT(O30)=0,"",O30*G30)</x:f>
      </x:c>
      <x:c r="Q30" s="46" t="str">
        <x:f>IF(B30="","",IF(L30="Cancelada","Cancelada",IF(COUNT(H30)=0,"Sin recibir",IF(H30=0,"Sin recibir",IF(H30&lt;F30,"Parcial",IF(H30=F30,"Completa","Recepción excedida"))))))</x:f>
      </x:c>
    </x:row>
    <x:row r="31">
      <x:c r="A31" s="44"/>
      <x:c r="B31" s="44"/>
      <x:c r="C31" s="44"/>
      <x:c r="D31" s="44"/>
      <x:c r="E31" s="44"/>
      <x:c r="F31" s="53"/>
      <x:c r="G31" s="53"/>
      <x:c r="H31" s="53"/>
      <x:c r="I31" s="51"/>
      <x:c r="J31" s="44"/>
      <x:c r="K31" s="44"/>
      <x:c r="L31" s="46" t="str">
        <x:f>IF(B31="","",IFERROR(INDEX('ÓRDENES-DE-COMPRA'!$H$11:$H$110,MATCH(B31,'ÓRDENES-DE-COMPRA'!$A$11:$A$110,0)),""))</x:f>
      </x:c>
      <x:c r="M31" s="59" t="str">
        <x:f>IF(OR(B31="",COUNT(F31:G31)&lt;2),"",F31*G31)</x:f>
      </x:c>
      <x:c r="N31" s="59" t="str">
        <x:f>IF(OR(B31="",COUNT(F31:H31)&lt;3),"",IF(L31="Cancelada",0,MIN(F31,H31)*G31))</x:f>
      </x:c>
      <x:c r="O31" s="59" t="str">
        <x:f>IF(OR(B31="",COUNT(F31:H31)&lt;3),"",IF(L31="Cancelada",0,MAX(F31-H31,0)))</x:f>
      </x:c>
      <x:c r="P31" s="59" t="str">
        <x:f>IF(COUNT(O31)=0,"",O31*G31)</x:f>
      </x:c>
      <x:c r="Q31" s="46" t="str">
        <x:f>IF(B31="","",IF(L31="Cancelada","Cancelada",IF(COUNT(H31)=0,"Sin recibir",IF(H31=0,"Sin recibir",IF(H31&lt;F31,"Parcial",IF(H31=F31,"Completa","Recepción excedida"))))))</x:f>
      </x:c>
    </x:row>
    <x:row r="32">
      <x:c r="A32" s="44"/>
      <x:c r="B32" s="44"/>
      <x:c r="C32" s="44"/>
      <x:c r="D32" s="44"/>
      <x:c r="E32" s="44"/>
      <x:c r="F32" s="53"/>
      <x:c r="G32" s="53"/>
      <x:c r="H32" s="53"/>
      <x:c r="I32" s="51"/>
      <x:c r="J32" s="44"/>
      <x:c r="K32" s="44"/>
      <x:c r="L32" s="46" t="str">
        <x:f>IF(B32="","",IFERROR(INDEX('ÓRDENES-DE-COMPRA'!$H$11:$H$110,MATCH(B32,'ÓRDENES-DE-COMPRA'!$A$11:$A$110,0)),""))</x:f>
      </x:c>
      <x:c r="M32" s="59" t="str">
        <x:f>IF(OR(B32="",COUNT(F32:G32)&lt;2),"",F32*G32)</x:f>
      </x:c>
      <x:c r="N32" s="59" t="str">
        <x:f>IF(OR(B32="",COUNT(F32:H32)&lt;3),"",IF(L32="Cancelada",0,MIN(F32,H32)*G32))</x:f>
      </x:c>
      <x:c r="O32" s="59" t="str">
        <x:f>IF(OR(B32="",COUNT(F32:H32)&lt;3),"",IF(L32="Cancelada",0,MAX(F32-H32,0)))</x:f>
      </x:c>
      <x:c r="P32" s="59" t="str">
        <x:f>IF(COUNT(O32)=0,"",O32*G32)</x:f>
      </x:c>
      <x:c r="Q32" s="46" t="str">
        <x:f>IF(B32="","",IF(L32="Cancelada","Cancelada",IF(COUNT(H32)=0,"Sin recibir",IF(H32=0,"Sin recibir",IF(H32&lt;F32,"Parcial",IF(H32=F32,"Completa","Recepción excedida"))))))</x:f>
      </x:c>
    </x:row>
    <x:row r="33">
      <x:c r="A33" s="44"/>
      <x:c r="B33" s="44"/>
      <x:c r="C33" s="44"/>
      <x:c r="D33" s="44"/>
      <x:c r="E33" s="44"/>
      <x:c r="F33" s="53"/>
      <x:c r="G33" s="53"/>
      <x:c r="H33" s="53"/>
      <x:c r="I33" s="51"/>
      <x:c r="J33" s="44"/>
      <x:c r="K33" s="44"/>
      <x:c r="L33" s="46" t="str">
        <x:f>IF(B33="","",IFERROR(INDEX('ÓRDENES-DE-COMPRA'!$H$11:$H$110,MATCH(B33,'ÓRDENES-DE-COMPRA'!$A$11:$A$110,0)),""))</x:f>
      </x:c>
      <x:c r="M33" s="59" t="str">
        <x:f>IF(OR(B33="",COUNT(F33:G33)&lt;2),"",F33*G33)</x:f>
      </x:c>
      <x:c r="N33" s="59" t="str">
        <x:f>IF(OR(B33="",COUNT(F33:H33)&lt;3),"",IF(L33="Cancelada",0,MIN(F33,H33)*G33))</x:f>
      </x:c>
      <x:c r="O33" s="59" t="str">
        <x:f>IF(OR(B33="",COUNT(F33:H33)&lt;3),"",IF(L33="Cancelada",0,MAX(F33-H33,0)))</x:f>
      </x:c>
      <x:c r="P33" s="59" t="str">
        <x:f>IF(COUNT(O33)=0,"",O33*G33)</x:f>
      </x:c>
      <x:c r="Q33" s="46" t="str">
        <x:f>IF(B33="","",IF(L33="Cancelada","Cancelada",IF(COUNT(H33)=0,"Sin recibir",IF(H33=0,"Sin recibir",IF(H33&lt;F33,"Parcial",IF(H33=F33,"Completa","Recepción excedida"))))))</x:f>
      </x:c>
    </x:row>
    <x:row r="34">
      <x:c r="A34" s="44"/>
      <x:c r="B34" s="44"/>
      <x:c r="C34" s="44"/>
      <x:c r="D34" s="44"/>
      <x:c r="E34" s="44"/>
      <x:c r="F34" s="53"/>
      <x:c r="G34" s="53"/>
      <x:c r="H34" s="53"/>
      <x:c r="I34" s="51"/>
      <x:c r="J34" s="44"/>
      <x:c r="K34" s="44"/>
      <x:c r="L34" s="46" t="str">
        <x:f>IF(B34="","",IFERROR(INDEX('ÓRDENES-DE-COMPRA'!$H$11:$H$110,MATCH(B34,'ÓRDENES-DE-COMPRA'!$A$11:$A$110,0)),""))</x:f>
      </x:c>
      <x:c r="M34" s="59" t="str">
        <x:f>IF(OR(B34="",COUNT(F34:G34)&lt;2),"",F34*G34)</x:f>
      </x:c>
      <x:c r="N34" s="59" t="str">
        <x:f>IF(OR(B34="",COUNT(F34:H34)&lt;3),"",IF(L34="Cancelada",0,MIN(F34,H34)*G34))</x:f>
      </x:c>
      <x:c r="O34" s="59" t="str">
        <x:f>IF(OR(B34="",COUNT(F34:H34)&lt;3),"",IF(L34="Cancelada",0,MAX(F34-H34,0)))</x:f>
      </x:c>
      <x:c r="P34" s="59" t="str">
        <x:f>IF(COUNT(O34)=0,"",O34*G34)</x:f>
      </x:c>
      <x:c r="Q34" s="46" t="str">
        <x:f>IF(B34="","",IF(L34="Cancelada","Cancelada",IF(COUNT(H34)=0,"Sin recibir",IF(H34=0,"Sin recibir",IF(H34&lt;F34,"Parcial",IF(H34=F34,"Completa","Recepción excedida"))))))</x:f>
      </x:c>
    </x:row>
    <x:row r="35">
      <x:c r="A35" s="44"/>
      <x:c r="B35" s="44"/>
      <x:c r="C35" s="44"/>
      <x:c r="D35" s="44"/>
      <x:c r="E35" s="44"/>
      <x:c r="F35" s="53"/>
      <x:c r="G35" s="53"/>
      <x:c r="H35" s="53"/>
      <x:c r="I35" s="51"/>
      <x:c r="J35" s="44"/>
      <x:c r="K35" s="44"/>
      <x:c r="L35" s="46" t="str">
        <x:f>IF(B35="","",IFERROR(INDEX('ÓRDENES-DE-COMPRA'!$H$11:$H$110,MATCH(B35,'ÓRDENES-DE-COMPRA'!$A$11:$A$110,0)),""))</x:f>
      </x:c>
      <x:c r="M35" s="59" t="str">
        <x:f>IF(OR(B35="",COUNT(F35:G35)&lt;2),"",F35*G35)</x:f>
      </x:c>
      <x:c r="N35" s="59" t="str">
        <x:f>IF(OR(B35="",COUNT(F35:H35)&lt;3),"",IF(L35="Cancelada",0,MIN(F35,H35)*G35))</x:f>
      </x:c>
      <x:c r="O35" s="59" t="str">
        <x:f>IF(OR(B35="",COUNT(F35:H35)&lt;3),"",IF(L35="Cancelada",0,MAX(F35-H35,0)))</x:f>
      </x:c>
      <x:c r="P35" s="59" t="str">
        <x:f>IF(COUNT(O35)=0,"",O35*G35)</x:f>
      </x:c>
      <x:c r="Q35" s="46" t="str">
        <x:f>IF(B35="","",IF(L35="Cancelada","Cancelada",IF(COUNT(H35)=0,"Sin recibir",IF(H35=0,"Sin recibir",IF(H35&lt;F35,"Parcial",IF(H35=F35,"Completa","Recepción excedida"))))))</x:f>
      </x:c>
    </x:row>
    <x:row r="36">
      <x:c r="A36" s="44"/>
      <x:c r="B36" s="44"/>
      <x:c r="C36" s="44"/>
      <x:c r="D36" s="44"/>
      <x:c r="E36" s="44"/>
      <x:c r="F36" s="53"/>
      <x:c r="G36" s="53"/>
      <x:c r="H36" s="53"/>
      <x:c r="I36" s="51"/>
      <x:c r="J36" s="44"/>
      <x:c r="K36" s="44"/>
      <x:c r="L36" s="46" t="str">
        <x:f>IF(B36="","",IFERROR(INDEX('ÓRDENES-DE-COMPRA'!$H$11:$H$110,MATCH(B36,'ÓRDENES-DE-COMPRA'!$A$11:$A$110,0)),""))</x:f>
      </x:c>
      <x:c r="M36" s="59" t="str">
        <x:f>IF(OR(B36="",COUNT(F36:G36)&lt;2),"",F36*G36)</x:f>
      </x:c>
      <x:c r="N36" s="59" t="str">
        <x:f>IF(OR(B36="",COUNT(F36:H36)&lt;3),"",IF(L36="Cancelada",0,MIN(F36,H36)*G36))</x:f>
      </x:c>
      <x:c r="O36" s="59" t="str">
        <x:f>IF(OR(B36="",COUNT(F36:H36)&lt;3),"",IF(L36="Cancelada",0,MAX(F36-H36,0)))</x:f>
      </x:c>
      <x:c r="P36" s="59" t="str">
        <x:f>IF(COUNT(O36)=0,"",O36*G36)</x:f>
      </x:c>
      <x:c r="Q36" s="46" t="str">
        <x:f>IF(B36="","",IF(L36="Cancelada","Cancelada",IF(COUNT(H36)=0,"Sin recibir",IF(H36=0,"Sin recibir",IF(H36&lt;F36,"Parcial",IF(H36=F36,"Completa","Recepción excedida"))))))</x:f>
      </x:c>
    </x:row>
    <x:row r="37">
      <x:c r="A37" s="44"/>
      <x:c r="B37" s="44"/>
      <x:c r="C37" s="44"/>
      <x:c r="D37" s="44"/>
      <x:c r="E37" s="44"/>
      <x:c r="F37" s="53"/>
      <x:c r="G37" s="53"/>
      <x:c r="H37" s="53"/>
      <x:c r="I37" s="51"/>
      <x:c r="J37" s="44"/>
      <x:c r="K37" s="44"/>
      <x:c r="L37" s="46" t="str">
        <x:f>IF(B37="","",IFERROR(INDEX('ÓRDENES-DE-COMPRA'!$H$11:$H$110,MATCH(B37,'ÓRDENES-DE-COMPRA'!$A$11:$A$110,0)),""))</x:f>
      </x:c>
      <x:c r="M37" s="59" t="str">
        <x:f>IF(OR(B37="",COUNT(F37:G37)&lt;2),"",F37*G37)</x:f>
      </x:c>
      <x:c r="N37" s="59" t="str">
        <x:f>IF(OR(B37="",COUNT(F37:H37)&lt;3),"",IF(L37="Cancelada",0,MIN(F37,H37)*G37))</x:f>
      </x:c>
      <x:c r="O37" s="59" t="str">
        <x:f>IF(OR(B37="",COUNT(F37:H37)&lt;3),"",IF(L37="Cancelada",0,MAX(F37-H37,0)))</x:f>
      </x:c>
      <x:c r="P37" s="59" t="str">
        <x:f>IF(COUNT(O37)=0,"",O37*G37)</x:f>
      </x:c>
      <x:c r="Q37" s="46" t="str">
        <x:f>IF(B37="","",IF(L37="Cancelada","Cancelada",IF(COUNT(H37)=0,"Sin recibir",IF(H37=0,"Sin recibir",IF(H37&lt;F37,"Parcial",IF(H37=F37,"Completa","Recepción excedida"))))))</x:f>
      </x:c>
    </x:row>
    <x:row r="38">
      <x:c r="A38" s="44"/>
      <x:c r="B38" s="44"/>
      <x:c r="C38" s="44"/>
      <x:c r="D38" s="44"/>
      <x:c r="E38" s="44"/>
      <x:c r="F38" s="53"/>
      <x:c r="G38" s="53"/>
      <x:c r="H38" s="53"/>
      <x:c r="I38" s="51"/>
      <x:c r="J38" s="44"/>
      <x:c r="K38" s="44"/>
      <x:c r="L38" s="46" t="str">
        <x:f>IF(B38="","",IFERROR(INDEX('ÓRDENES-DE-COMPRA'!$H$11:$H$110,MATCH(B38,'ÓRDENES-DE-COMPRA'!$A$11:$A$110,0)),""))</x:f>
      </x:c>
      <x:c r="M38" s="59" t="str">
        <x:f>IF(OR(B38="",COUNT(F38:G38)&lt;2),"",F38*G38)</x:f>
      </x:c>
      <x:c r="N38" s="59" t="str">
        <x:f>IF(OR(B38="",COUNT(F38:H38)&lt;3),"",IF(L38="Cancelada",0,MIN(F38,H38)*G38))</x:f>
      </x:c>
      <x:c r="O38" s="59" t="str">
        <x:f>IF(OR(B38="",COUNT(F38:H38)&lt;3),"",IF(L38="Cancelada",0,MAX(F38-H38,0)))</x:f>
      </x:c>
      <x:c r="P38" s="59" t="str">
        <x:f>IF(COUNT(O38)=0,"",O38*G38)</x:f>
      </x:c>
      <x:c r="Q38" s="46" t="str">
        <x:f>IF(B38="","",IF(L38="Cancelada","Cancelada",IF(COUNT(H38)=0,"Sin recibir",IF(H38=0,"Sin recibir",IF(H38&lt;F38,"Parcial",IF(H38=F38,"Completa","Recepción excedida"))))))</x:f>
      </x:c>
    </x:row>
    <x:row r="39">
      <x:c r="A39" s="44"/>
      <x:c r="B39" s="44"/>
      <x:c r="C39" s="44"/>
      <x:c r="D39" s="44"/>
      <x:c r="E39" s="44"/>
      <x:c r="F39" s="53"/>
      <x:c r="G39" s="53"/>
      <x:c r="H39" s="53"/>
      <x:c r="I39" s="51"/>
      <x:c r="J39" s="44"/>
      <x:c r="K39" s="44"/>
      <x:c r="L39" s="46" t="str">
        <x:f>IF(B39="","",IFERROR(INDEX('ÓRDENES-DE-COMPRA'!$H$11:$H$110,MATCH(B39,'ÓRDENES-DE-COMPRA'!$A$11:$A$110,0)),""))</x:f>
      </x:c>
      <x:c r="M39" s="59" t="str">
        <x:f>IF(OR(B39="",COUNT(F39:G39)&lt;2),"",F39*G39)</x:f>
      </x:c>
      <x:c r="N39" s="59" t="str">
        <x:f>IF(OR(B39="",COUNT(F39:H39)&lt;3),"",IF(L39="Cancelada",0,MIN(F39,H39)*G39))</x:f>
      </x:c>
      <x:c r="O39" s="59" t="str">
        <x:f>IF(OR(B39="",COUNT(F39:H39)&lt;3),"",IF(L39="Cancelada",0,MAX(F39-H39,0)))</x:f>
      </x:c>
      <x:c r="P39" s="59" t="str">
        <x:f>IF(COUNT(O39)=0,"",O39*G39)</x:f>
      </x:c>
      <x:c r="Q39" s="46" t="str">
        <x:f>IF(B39="","",IF(L39="Cancelada","Cancelada",IF(COUNT(H39)=0,"Sin recibir",IF(H39=0,"Sin recibir",IF(H39&lt;F39,"Parcial",IF(H39=F39,"Completa","Recepción excedida"))))))</x:f>
      </x:c>
    </x:row>
    <x:row r="40">
      <x:c r="A40" s="44"/>
      <x:c r="B40" s="44"/>
      <x:c r="C40" s="44"/>
      <x:c r="D40" s="44"/>
      <x:c r="E40" s="44"/>
      <x:c r="F40" s="53"/>
      <x:c r="G40" s="53"/>
      <x:c r="H40" s="53"/>
      <x:c r="I40" s="51"/>
      <x:c r="J40" s="44"/>
      <x:c r="K40" s="44"/>
      <x:c r="L40" s="46" t="str">
        <x:f>IF(B40="","",IFERROR(INDEX('ÓRDENES-DE-COMPRA'!$H$11:$H$110,MATCH(B40,'ÓRDENES-DE-COMPRA'!$A$11:$A$110,0)),""))</x:f>
      </x:c>
      <x:c r="M40" s="59" t="str">
        <x:f>IF(OR(B40="",COUNT(F40:G40)&lt;2),"",F40*G40)</x:f>
      </x:c>
      <x:c r="N40" s="59" t="str">
        <x:f>IF(OR(B40="",COUNT(F40:H40)&lt;3),"",IF(L40="Cancelada",0,MIN(F40,H40)*G40))</x:f>
      </x:c>
      <x:c r="O40" s="59" t="str">
        <x:f>IF(OR(B40="",COUNT(F40:H40)&lt;3),"",IF(L40="Cancelada",0,MAX(F40-H40,0)))</x:f>
      </x:c>
      <x:c r="P40" s="59" t="str">
        <x:f>IF(COUNT(O40)=0,"",O40*G40)</x:f>
      </x:c>
      <x:c r="Q40" s="46" t="str">
        <x:f>IF(B40="","",IF(L40="Cancelada","Cancelada",IF(COUNT(H40)=0,"Sin recibir",IF(H40=0,"Sin recibir",IF(H40&lt;F40,"Parcial",IF(H40=F40,"Completa","Recepción excedida"))))))</x:f>
      </x:c>
    </x:row>
    <x:row r="41">
      <x:c r="A41" s="44"/>
      <x:c r="B41" s="44"/>
      <x:c r="C41" s="44"/>
      <x:c r="D41" s="44"/>
      <x:c r="E41" s="44"/>
      <x:c r="F41" s="53"/>
      <x:c r="G41" s="53"/>
      <x:c r="H41" s="53"/>
      <x:c r="I41" s="51"/>
      <x:c r="J41" s="44"/>
      <x:c r="K41" s="44"/>
      <x:c r="L41" s="46" t="str">
        <x:f>IF(B41="","",IFERROR(INDEX('ÓRDENES-DE-COMPRA'!$H$11:$H$110,MATCH(B41,'ÓRDENES-DE-COMPRA'!$A$11:$A$110,0)),""))</x:f>
      </x:c>
      <x:c r="M41" s="59" t="str">
        <x:f>IF(OR(B41="",COUNT(F41:G41)&lt;2),"",F41*G41)</x:f>
      </x:c>
      <x:c r="N41" s="59" t="str">
        <x:f>IF(OR(B41="",COUNT(F41:H41)&lt;3),"",IF(L41="Cancelada",0,MIN(F41,H41)*G41))</x:f>
      </x:c>
      <x:c r="O41" s="59" t="str">
        <x:f>IF(OR(B41="",COUNT(F41:H41)&lt;3),"",IF(L41="Cancelada",0,MAX(F41-H41,0)))</x:f>
      </x:c>
      <x:c r="P41" s="59" t="str">
        <x:f>IF(COUNT(O41)=0,"",O41*G41)</x:f>
      </x:c>
      <x:c r="Q41" s="46" t="str">
        <x:f>IF(B41="","",IF(L41="Cancelada","Cancelada",IF(COUNT(H41)=0,"Sin recibir",IF(H41=0,"Sin recibir",IF(H41&lt;F41,"Parcial",IF(H41=F41,"Completa","Recepción excedida"))))))</x:f>
      </x:c>
    </x:row>
    <x:row r="42">
      <x:c r="A42" s="44"/>
      <x:c r="B42" s="44"/>
      <x:c r="C42" s="44"/>
      <x:c r="D42" s="44"/>
      <x:c r="E42" s="44"/>
      <x:c r="F42" s="53"/>
      <x:c r="G42" s="53"/>
      <x:c r="H42" s="53"/>
      <x:c r="I42" s="51"/>
      <x:c r="J42" s="44"/>
      <x:c r="K42" s="44"/>
      <x:c r="L42" s="46" t="str">
        <x:f>IF(B42="","",IFERROR(INDEX('ÓRDENES-DE-COMPRA'!$H$11:$H$110,MATCH(B42,'ÓRDENES-DE-COMPRA'!$A$11:$A$110,0)),""))</x:f>
      </x:c>
      <x:c r="M42" s="59" t="str">
        <x:f>IF(OR(B42="",COUNT(F42:G42)&lt;2),"",F42*G42)</x:f>
      </x:c>
      <x:c r="N42" s="59" t="str">
        <x:f>IF(OR(B42="",COUNT(F42:H42)&lt;3),"",IF(L42="Cancelada",0,MIN(F42,H42)*G42))</x:f>
      </x:c>
      <x:c r="O42" s="59" t="str">
        <x:f>IF(OR(B42="",COUNT(F42:H42)&lt;3),"",IF(L42="Cancelada",0,MAX(F42-H42,0)))</x:f>
      </x:c>
      <x:c r="P42" s="59" t="str">
        <x:f>IF(COUNT(O42)=0,"",O42*G42)</x:f>
      </x:c>
      <x:c r="Q42" s="46" t="str">
        <x:f>IF(B42="","",IF(L42="Cancelada","Cancelada",IF(COUNT(H42)=0,"Sin recibir",IF(H42=0,"Sin recibir",IF(H42&lt;F42,"Parcial",IF(H42=F42,"Completa","Recepción excedida"))))))</x:f>
      </x:c>
    </x:row>
    <x:row r="43">
      <x:c r="A43" s="44"/>
      <x:c r="B43" s="44"/>
      <x:c r="C43" s="44"/>
      <x:c r="D43" s="44"/>
      <x:c r="E43" s="44"/>
      <x:c r="F43" s="53"/>
      <x:c r="G43" s="53"/>
      <x:c r="H43" s="53"/>
      <x:c r="I43" s="51"/>
      <x:c r="J43" s="44"/>
      <x:c r="K43" s="44"/>
      <x:c r="L43" s="46" t="str">
        <x:f>IF(B43="","",IFERROR(INDEX('ÓRDENES-DE-COMPRA'!$H$11:$H$110,MATCH(B43,'ÓRDENES-DE-COMPRA'!$A$11:$A$110,0)),""))</x:f>
      </x:c>
      <x:c r="M43" s="59" t="str">
        <x:f>IF(OR(B43="",COUNT(F43:G43)&lt;2),"",F43*G43)</x:f>
      </x:c>
      <x:c r="N43" s="59" t="str">
        <x:f>IF(OR(B43="",COUNT(F43:H43)&lt;3),"",IF(L43="Cancelada",0,MIN(F43,H43)*G43))</x:f>
      </x:c>
      <x:c r="O43" s="59" t="str">
        <x:f>IF(OR(B43="",COUNT(F43:H43)&lt;3),"",IF(L43="Cancelada",0,MAX(F43-H43,0)))</x:f>
      </x:c>
      <x:c r="P43" s="59" t="str">
        <x:f>IF(COUNT(O43)=0,"",O43*G43)</x:f>
      </x:c>
      <x:c r="Q43" s="46" t="str">
        <x:f>IF(B43="","",IF(L43="Cancelada","Cancelada",IF(COUNT(H43)=0,"Sin recibir",IF(H43=0,"Sin recibir",IF(H43&lt;F43,"Parcial",IF(H43=F43,"Completa","Recepción excedida"))))))</x:f>
      </x:c>
    </x:row>
    <x:row r="44">
      <x:c r="A44" s="44"/>
      <x:c r="B44" s="44"/>
      <x:c r="C44" s="44"/>
      <x:c r="D44" s="44"/>
      <x:c r="E44" s="44"/>
      <x:c r="F44" s="53"/>
      <x:c r="G44" s="53"/>
      <x:c r="H44" s="53"/>
      <x:c r="I44" s="51"/>
      <x:c r="J44" s="44"/>
      <x:c r="K44" s="44"/>
      <x:c r="L44" s="46" t="str">
        <x:f>IF(B44="","",IFERROR(INDEX('ÓRDENES-DE-COMPRA'!$H$11:$H$110,MATCH(B44,'ÓRDENES-DE-COMPRA'!$A$11:$A$110,0)),""))</x:f>
      </x:c>
      <x:c r="M44" s="59" t="str">
        <x:f>IF(OR(B44="",COUNT(F44:G44)&lt;2),"",F44*G44)</x:f>
      </x:c>
      <x:c r="N44" s="59" t="str">
        <x:f>IF(OR(B44="",COUNT(F44:H44)&lt;3),"",IF(L44="Cancelada",0,MIN(F44,H44)*G44))</x:f>
      </x:c>
      <x:c r="O44" s="59" t="str">
        <x:f>IF(OR(B44="",COUNT(F44:H44)&lt;3),"",IF(L44="Cancelada",0,MAX(F44-H44,0)))</x:f>
      </x:c>
      <x:c r="P44" s="59" t="str">
        <x:f>IF(COUNT(O44)=0,"",O44*G44)</x:f>
      </x:c>
      <x:c r="Q44" s="46" t="str">
        <x:f>IF(B44="","",IF(L44="Cancelada","Cancelada",IF(COUNT(H44)=0,"Sin recibir",IF(H44=0,"Sin recibir",IF(H44&lt;F44,"Parcial",IF(H44=F44,"Completa","Recepción excedida"))))))</x:f>
      </x:c>
    </x:row>
    <x:row r="45">
      <x:c r="A45" s="44"/>
      <x:c r="B45" s="44"/>
      <x:c r="C45" s="44"/>
      <x:c r="D45" s="44"/>
      <x:c r="E45" s="44"/>
      <x:c r="F45" s="53"/>
      <x:c r="G45" s="53"/>
      <x:c r="H45" s="53"/>
      <x:c r="I45" s="51"/>
      <x:c r="J45" s="44"/>
      <x:c r="K45" s="44"/>
      <x:c r="L45" s="46" t="str">
        <x:f>IF(B45="","",IFERROR(INDEX('ÓRDENES-DE-COMPRA'!$H$11:$H$110,MATCH(B45,'ÓRDENES-DE-COMPRA'!$A$11:$A$110,0)),""))</x:f>
      </x:c>
      <x:c r="M45" s="59" t="str">
        <x:f>IF(OR(B45="",COUNT(F45:G45)&lt;2),"",F45*G45)</x:f>
      </x:c>
      <x:c r="N45" s="59" t="str">
        <x:f>IF(OR(B45="",COUNT(F45:H45)&lt;3),"",IF(L45="Cancelada",0,MIN(F45,H45)*G45))</x:f>
      </x:c>
      <x:c r="O45" s="59" t="str">
        <x:f>IF(OR(B45="",COUNT(F45:H45)&lt;3),"",IF(L45="Cancelada",0,MAX(F45-H45,0)))</x:f>
      </x:c>
      <x:c r="P45" s="59" t="str">
        <x:f>IF(COUNT(O45)=0,"",O45*G45)</x:f>
      </x:c>
      <x:c r="Q45" s="46" t="str">
        <x:f>IF(B45="","",IF(L45="Cancelada","Cancelada",IF(COUNT(H45)=0,"Sin recibir",IF(H45=0,"Sin recibir",IF(H45&lt;F45,"Parcial",IF(H45=F45,"Completa","Recepción excedida"))))))</x:f>
      </x:c>
    </x:row>
    <x:row r="46">
      <x:c r="A46" s="44"/>
      <x:c r="B46" s="44"/>
      <x:c r="C46" s="44"/>
      <x:c r="D46" s="44"/>
      <x:c r="E46" s="44"/>
      <x:c r="F46" s="53"/>
      <x:c r="G46" s="53"/>
      <x:c r="H46" s="53"/>
      <x:c r="I46" s="51"/>
      <x:c r="J46" s="44"/>
      <x:c r="K46" s="44"/>
      <x:c r="L46" s="46" t="str">
        <x:f>IF(B46="","",IFERROR(INDEX('ÓRDENES-DE-COMPRA'!$H$11:$H$110,MATCH(B46,'ÓRDENES-DE-COMPRA'!$A$11:$A$110,0)),""))</x:f>
      </x:c>
      <x:c r="M46" s="59" t="str">
        <x:f>IF(OR(B46="",COUNT(F46:G46)&lt;2),"",F46*G46)</x:f>
      </x:c>
      <x:c r="N46" s="59" t="str">
        <x:f>IF(OR(B46="",COUNT(F46:H46)&lt;3),"",IF(L46="Cancelada",0,MIN(F46,H46)*G46))</x:f>
      </x:c>
      <x:c r="O46" s="59" t="str">
        <x:f>IF(OR(B46="",COUNT(F46:H46)&lt;3),"",IF(L46="Cancelada",0,MAX(F46-H46,0)))</x:f>
      </x:c>
      <x:c r="P46" s="59" t="str">
        <x:f>IF(COUNT(O46)=0,"",O46*G46)</x:f>
      </x:c>
      <x:c r="Q46" s="46" t="str">
        <x:f>IF(B46="","",IF(L46="Cancelada","Cancelada",IF(COUNT(H46)=0,"Sin recibir",IF(H46=0,"Sin recibir",IF(H46&lt;F46,"Parcial",IF(H46=F46,"Completa","Recepción excedida"))))))</x:f>
      </x:c>
    </x:row>
    <x:row r="47">
      <x:c r="A47" s="44"/>
      <x:c r="B47" s="44"/>
      <x:c r="C47" s="44"/>
      <x:c r="D47" s="44"/>
      <x:c r="E47" s="44"/>
      <x:c r="F47" s="53"/>
      <x:c r="G47" s="53"/>
      <x:c r="H47" s="53"/>
      <x:c r="I47" s="51"/>
      <x:c r="J47" s="44"/>
      <x:c r="K47" s="44"/>
      <x:c r="L47" s="46" t="str">
        <x:f>IF(B47="","",IFERROR(INDEX('ÓRDENES-DE-COMPRA'!$H$11:$H$110,MATCH(B47,'ÓRDENES-DE-COMPRA'!$A$11:$A$110,0)),""))</x:f>
      </x:c>
      <x:c r="M47" s="59" t="str">
        <x:f>IF(OR(B47="",COUNT(F47:G47)&lt;2),"",F47*G47)</x:f>
      </x:c>
      <x:c r="N47" s="59" t="str">
        <x:f>IF(OR(B47="",COUNT(F47:H47)&lt;3),"",IF(L47="Cancelada",0,MIN(F47,H47)*G47))</x:f>
      </x:c>
      <x:c r="O47" s="59" t="str">
        <x:f>IF(OR(B47="",COUNT(F47:H47)&lt;3),"",IF(L47="Cancelada",0,MAX(F47-H47,0)))</x:f>
      </x:c>
      <x:c r="P47" s="59" t="str">
        <x:f>IF(COUNT(O47)=0,"",O47*G47)</x:f>
      </x:c>
      <x:c r="Q47" s="46" t="str">
        <x:f>IF(B47="","",IF(L47="Cancelada","Cancelada",IF(COUNT(H47)=0,"Sin recibir",IF(H47=0,"Sin recibir",IF(H47&lt;F47,"Parcial",IF(H47=F47,"Completa","Recepción excedida"))))))</x:f>
      </x:c>
    </x:row>
    <x:row r="48">
      <x:c r="A48" s="44"/>
      <x:c r="B48" s="44"/>
      <x:c r="C48" s="44"/>
      <x:c r="D48" s="44"/>
      <x:c r="E48" s="44"/>
      <x:c r="F48" s="53"/>
      <x:c r="G48" s="53"/>
      <x:c r="H48" s="53"/>
      <x:c r="I48" s="51"/>
      <x:c r="J48" s="44"/>
      <x:c r="K48" s="44"/>
      <x:c r="L48" s="46" t="str">
        <x:f>IF(B48="","",IFERROR(INDEX('ÓRDENES-DE-COMPRA'!$H$11:$H$110,MATCH(B48,'ÓRDENES-DE-COMPRA'!$A$11:$A$110,0)),""))</x:f>
      </x:c>
      <x:c r="M48" s="59" t="str">
        <x:f>IF(OR(B48="",COUNT(F48:G48)&lt;2),"",F48*G48)</x:f>
      </x:c>
      <x:c r="N48" s="59" t="str">
        <x:f>IF(OR(B48="",COUNT(F48:H48)&lt;3),"",IF(L48="Cancelada",0,MIN(F48,H48)*G48))</x:f>
      </x:c>
      <x:c r="O48" s="59" t="str">
        <x:f>IF(OR(B48="",COUNT(F48:H48)&lt;3),"",IF(L48="Cancelada",0,MAX(F48-H48,0)))</x:f>
      </x:c>
      <x:c r="P48" s="59" t="str">
        <x:f>IF(COUNT(O48)=0,"",O48*G48)</x:f>
      </x:c>
      <x:c r="Q48" s="46" t="str">
        <x:f>IF(B48="","",IF(L48="Cancelada","Cancelada",IF(COUNT(H48)=0,"Sin recibir",IF(H48=0,"Sin recibir",IF(H48&lt;F48,"Parcial",IF(H48=F48,"Completa","Recepción excedida"))))))</x:f>
      </x:c>
    </x:row>
    <x:row r="49">
      <x:c r="A49" s="44"/>
      <x:c r="B49" s="44"/>
      <x:c r="C49" s="44"/>
      <x:c r="D49" s="44"/>
      <x:c r="E49" s="44"/>
      <x:c r="F49" s="53"/>
      <x:c r="G49" s="53"/>
      <x:c r="H49" s="53"/>
      <x:c r="I49" s="51"/>
      <x:c r="J49" s="44"/>
      <x:c r="K49" s="44"/>
      <x:c r="L49" s="46" t="str">
        <x:f>IF(B49="","",IFERROR(INDEX('ÓRDENES-DE-COMPRA'!$H$11:$H$110,MATCH(B49,'ÓRDENES-DE-COMPRA'!$A$11:$A$110,0)),""))</x:f>
      </x:c>
      <x:c r="M49" s="59" t="str">
        <x:f>IF(OR(B49="",COUNT(F49:G49)&lt;2),"",F49*G49)</x:f>
      </x:c>
      <x:c r="N49" s="59" t="str">
        <x:f>IF(OR(B49="",COUNT(F49:H49)&lt;3),"",IF(L49="Cancelada",0,MIN(F49,H49)*G49))</x:f>
      </x:c>
      <x:c r="O49" s="59" t="str">
        <x:f>IF(OR(B49="",COUNT(F49:H49)&lt;3),"",IF(L49="Cancelada",0,MAX(F49-H49,0)))</x:f>
      </x:c>
      <x:c r="P49" s="59" t="str">
        <x:f>IF(COUNT(O49)=0,"",O49*G49)</x:f>
      </x:c>
      <x:c r="Q49" s="46" t="str">
        <x:f>IF(B49="","",IF(L49="Cancelada","Cancelada",IF(COUNT(H49)=0,"Sin recibir",IF(H49=0,"Sin recibir",IF(H49&lt;F49,"Parcial",IF(H49=F49,"Completa","Recepción excedida"))))))</x:f>
      </x:c>
    </x:row>
    <x:row r="50">
      <x:c r="A50" s="44"/>
      <x:c r="B50" s="44"/>
      <x:c r="C50" s="44"/>
      <x:c r="D50" s="44"/>
      <x:c r="E50" s="44"/>
      <x:c r="F50" s="53"/>
      <x:c r="G50" s="53"/>
      <x:c r="H50" s="53"/>
      <x:c r="I50" s="51"/>
      <x:c r="J50" s="44"/>
      <x:c r="K50" s="44"/>
      <x:c r="L50" s="46" t="str">
        <x:f>IF(B50="","",IFERROR(INDEX('ÓRDENES-DE-COMPRA'!$H$11:$H$110,MATCH(B50,'ÓRDENES-DE-COMPRA'!$A$11:$A$110,0)),""))</x:f>
      </x:c>
      <x:c r="M50" s="59" t="str">
        <x:f>IF(OR(B50="",COUNT(F50:G50)&lt;2),"",F50*G50)</x:f>
      </x:c>
      <x:c r="N50" s="59" t="str">
        <x:f>IF(OR(B50="",COUNT(F50:H50)&lt;3),"",IF(L50="Cancelada",0,MIN(F50,H50)*G50))</x:f>
      </x:c>
      <x:c r="O50" s="59" t="str">
        <x:f>IF(OR(B50="",COUNT(F50:H50)&lt;3),"",IF(L50="Cancelada",0,MAX(F50-H50,0)))</x:f>
      </x:c>
      <x:c r="P50" s="59" t="str">
        <x:f>IF(COUNT(O50)=0,"",O50*G50)</x:f>
      </x:c>
      <x:c r="Q50" s="46" t="str">
        <x:f>IF(B50="","",IF(L50="Cancelada","Cancelada",IF(COUNT(H50)=0,"Sin recibir",IF(H50=0,"Sin recibir",IF(H50&lt;F50,"Parcial",IF(H50=F50,"Completa","Recepción excedida"))))))</x:f>
      </x:c>
    </x:row>
    <x:row r="51">
      <x:c r="A51" s="44"/>
      <x:c r="B51" s="44"/>
      <x:c r="C51" s="44"/>
      <x:c r="D51" s="44"/>
      <x:c r="E51" s="44"/>
      <x:c r="F51" s="53"/>
      <x:c r="G51" s="53"/>
      <x:c r="H51" s="53"/>
      <x:c r="I51" s="51"/>
      <x:c r="J51" s="44"/>
      <x:c r="K51" s="44"/>
      <x:c r="L51" s="46" t="str">
        <x:f>IF(B51="","",IFERROR(INDEX('ÓRDENES-DE-COMPRA'!$H$11:$H$110,MATCH(B51,'ÓRDENES-DE-COMPRA'!$A$11:$A$110,0)),""))</x:f>
      </x:c>
      <x:c r="M51" s="59" t="str">
        <x:f>IF(OR(B51="",COUNT(F51:G51)&lt;2),"",F51*G51)</x:f>
      </x:c>
      <x:c r="N51" s="59" t="str">
        <x:f>IF(OR(B51="",COUNT(F51:H51)&lt;3),"",IF(L51="Cancelada",0,MIN(F51,H51)*G51))</x:f>
      </x:c>
      <x:c r="O51" s="59" t="str">
        <x:f>IF(OR(B51="",COUNT(F51:H51)&lt;3),"",IF(L51="Cancelada",0,MAX(F51-H51,0)))</x:f>
      </x:c>
      <x:c r="P51" s="59" t="str">
        <x:f>IF(COUNT(O51)=0,"",O51*G51)</x:f>
      </x:c>
      <x:c r="Q51" s="46" t="str">
        <x:f>IF(B51="","",IF(L51="Cancelada","Cancelada",IF(COUNT(H51)=0,"Sin recibir",IF(H51=0,"Sin recibir",IF(H51&lt;F51,"Parcial",IF(H51=F51,"Completa","Recepción excedida"))))))</x:f>
      </x:c>
    </x:row>
    <x:row r="52">
      <x:c r="A52" s="44"/>
      <x:c r="B52" s="44"/>
      <x:c r="C52" s="44"/>
      <x:c r="D52" s="44"/>
      <x:c r="E52" s="44"/>
      <x:c r="F52" s="53"/>
      <x:c r="G52" s="53"/>
      <x:c r="H52" s="53"/>
      <x:c r="I52" s="51"/>
      <x:c r="J52" s="44"/>
      <x:c r="K52" s="44"/>
      <x:c r="L52" s="46" t="str">
        <x:f>IF(B52="","",IFERROR(INDEX('ÓRDENES-DE-COMPRA'!$H$11:$H$110,MATCH(B52,'ÓRDENES-DE-COMPRA'!$A$11:$A$110,0)),""))</x:f>
      </x:c>
      <x:c r="M52" s="59" t="str">
        <x:f>IF(OR(B52="",COUNT(F52:G52)&lt;2),"",F52*G52)</x:f>
      </x:c>
      <x:c r="N52" s="59" t="str">
        <x:f>IF(OR(B52="",COUNT(F52:H52)&lt;3),"",IF(L52="Cancelada",0,MIN(F52,H52)*G52))</x:f>
      </x:c>
      <x:c r="O52" s="59" t="str">
        <x:f>IF(OR(B52="",COUNT(F52:H52)&lt;3),"",IF(L52="Cancelada",0,MAX(F52-H52,0)))</x:f>
      </x:c>
      <x:c r="P52" s="59" t="str">
        <x:f>IF(COUNT(O52)=0,"",O52*G52)</x:f>
      </x:c>
      <x:c r="Q52" s="46" t="str">
        <x:f>IF(B52="","",IF(L52="Cancelada","Cancelada",IF(COUNT(H52)=0,"Sin recibir",IF(H52=0,"Sin recibir",IF(H52&lt;F52,"Parcial",IF(H52=F52,"Completa","Recepción excedida"))))))</x:f>
      </x:c>
    </x:row>
    <x:row r="53">
      <x:c r="A53" s="44"/>
      <x:c r="B53" s="44"/>
      <x:c r="C53" s="44"/>
      <x:c r="D53" s="44"/>
      <x:c r="E53" s="44"/>
      <x:c r="F53" s="53"/>
      <x:c r="G53" s="53"/>
      <x:c r="H53" s="53"/>
      <x:c r="I53" s="51"/>
      <x:c r="J53" s="44"/>
      <x:c r="K53" s="44"/>
      <x:c r="L53" s="46" t="str">
        <x:f>IF(B53="","",IFERROR(INDEX('ÓRDENES-DE-COMPRA'!$H$11:$H$110,MATCH(B53,'ÓRDENES-DE-COMPRA'!$A$11:$A$110,0)),""))</x:f>
      </x:c>
      <x:c r="M53" s="59" t="str">
        <x:f>IF(OR(B53="",COUNT(F53:G53)&lt;2),"",F53*G53)</x:f>
      </x:c>
      <x:c r="N53" s="59" t="str">
        <x:f>IF(OR(B53="",COUNT(F53:H53)&lt;3),"",IF(L53="Cancelada",0,MIN(F53,H53)*G53))</x:f>
      </x:c>
      <x:c r="O53" s="59" t="str">
        <x:f>IF(OR(B53="",COUNT(F53:H53)&lt;3),"",IF(L53="Cancelada",0,MAX(F53-H53,0)))</x:f>
      </x:c>
      <x:c r="P53" s="59" t="str">
        <x:f>IF(COUNT(O53)=0,"",O53*G53)</x:f>
      </x:c>
      <x:c r="Q53" s="46" t="str">
        <x:f>IF(B53="","",IF(L53="Cancelada","Cancelada",IF(COUNT(H53)=0,"Sin recibir",IF(H53=0,"Sin recibir",IF(H53&lt;F53,"Parcial",IF(H53=F53,"Completa","Recepción excedida"))))))</x:f>
      </x:c>
    </x:row>
    <x:row r="54">
      <x:c r="A54" s="44"/>
      <x:c r="B54" s="44"/>
      <x:c r="C54" s="44"/>
      <x:c r="D54" s="44"/>
      <x:c r="E54" s="44"/>
      <x:c r="F54" s="53"/>
      <x:c r="G54" s="53"/>
      <x:c r="H54" s="53"/>
      <x:c r="I54" s="51"/>
      <x:c r="J54" s="44"/>
      <x:c r="K54" s="44"/>
      <x:c r="L54" s="46" t="str">
        <x:f>IF(B54="","",IFERROR(INDEX('ÓRDENES-DE-COMPRA'!$H$11:$H$110,MATCH(B54,'ÓRDENES-DE-COMPRA'!$A$11:$A$110,0)),""))</x:f>
      </x:c>
      <x:c r="M54" s="59" t="str">
        <x:f>IF(OR(B54="",COUNT(F54:G54)&lt;2),"",F54*G54)</x:f>
      </x:c>
      <x:c r="N54" s="59" t="str">
        <x:f>IF(OR(B54="",COUNT(F54:H54)&lt;3),"",IF(L54="Cancelada",0,MIN(F54,H54)*G54))</x:f>
      </x:c>
      <x:c r="O54" s="59" t="str">
        <x:f>IF(OR(B54="",COUNT(F54:H54)&lt;3),"",IF(L54="Cancelada",0,MAX(F54-H54,0)))</x:f>
      </x:c>
      <x:c r="P54" s="59" t="str">
        <x:f>IF(COUNT(O54)=0,"",O54*G54)</x:f>
      </x:c>
      <x:c r="Q54" s="46" t="str">
        <x:f>IF(B54="","",IF(L54="Cancelada","Cancelada",IF(COUNT(H54)=0,"Sin recibir",IF(H54=0,"Sin recibir",IF(H54&lt;F54,"Parcial",IF(H54=F54,"Completa","Recepción excedida"))))))</x:f>
      </x:c>
    </x:row>
    <x:row r="55">
      <x:c r="A55" s="44"/>
      <x:c r="B55" s="44"/>
      <x:c r="C55" s="44"/>
      <x:c r="D55" s="44"/>
      <x:c r="E55" s="44"/>
      <x:c r="F55" s="53"/>
      <x:c r="G55" s="53"/>
      <x:c r="H55" s="53"/>
      <x:c r="I55" s="51"/>
      <x:c r="J55" s="44"/>
      <x:c r="K55" s="44"/>
      <x:c r="L55" s="46" t="str">
        <x:f>IF(B55="","",IFERROR(INDEX('ÓRDENES-DE-COMPRA'!$H$11:$H$110,MATCH(B55,'ÓRDENES-DE-COMPRA'!$A$11:$A$110,0)),""))</x:f>
      </x:c>
      <x:c r="M55" s="59" t="str">
        <x:f>IF(OR(B55="",COUNT(F55:G55)&lt;2),"",F55*G55)</x:f>
      </x:c>
      <x:c r="N55" s="59" t="str">
        <x:f>IF(OR(B55="",COUNT(F55:H55)&lt;3),"",IF(L55="Cancelada",0,MIN(F55,H55)*G55))</x:f>
      </x:c>
      <x:c r="O55" s="59" t="str">
        <x:f>IF(OR(B55="",COUNT(F55:H55)&lt;3),"",IF(L55="Cancelada",0,MAX(F55-H55,0)))</x:f>
      </x:c>
      <x:c r="P55" s="59" t="str">
        <x:f>IF(COUNT(O55)=0,"",O55*G55)</x:f>
      </x:c>
      <x:c r="Q55" s="46" t="str">
        <x:f>IF(B55="","",IF(L55="Cancelada","Cancelada",IF(COUNT(H55)=0,"Sin recibir",IF(H55=0,"Sin recibir",IF(H55&lt;F55,"Parcial",IF(H55=F55,"Completa","Recepción excedida"))))))</x:f>
      </x:c>
    </x:row>
    <x:row r="56">
      <x:c r="A56" s="44"/>
      <x:c r="B56" s="44"/>
      <x:c r="C56" s="44"/>
      <x:c r="D56" s="44"/>
      <x:c r="E56" s="44"/>
      <x:c r="F56" s="53"/>
      <x:c r="G56" s="53"/>
      <x:c r="H56" s="53"/>
      <x:c r="I56" s="51"/>
      <x:c r="J56" s="44"/>
      <x:c r="K56" s="44"/>
      <x:c r="L56" s="46" t="str">
        <x:f>IF(B56="","",IFERROR(INDEX('ÓRDENES-DE-COMPRA'!$H$11:$H$110,MATCH(B56,'ÓRDENES-DE-COMPRA'!$A$11:$A$110,0)),""))</x:f>
      </x:c>
      <x:c r="M56" s="59" t="str">
        <x:f>IF(OR(B56="",COUNT(F56:G56)&lt;2),"",F56*G56)</x:f>
      </x:c>
      <x:c r="N56" s="59" t="str">
        <x:f>IF(OR(B56="",COUNT(F56:H56)&lt;3),"",IF(L56="Cancelada",0,MIN(F56,H56)*G56))</x:f>
      </x:c>
      <x:c r="O56" s="59" t="str">
        <x:f>IF(OR(B56="",COUNT(F56:H56)&lt;3),"",IF(L56="Cancelada",0,MAX(F56-H56,0)))</x:f>
      </x:c>
      <x:c r="P56" s="59" t="str">
        <x:f>IF(COUNT(O56)=0,"",O56*G56)</x:f>
      </x:c>
      <x:c r="Q56" s="46" t="str">
        <x:f>IF(B56="","",IF(L56="Cancelada","Cancelada",IF(COUNT(H56)=0,"Sin recibir",IF(H56=0,"Sin recibir",IF(H56&lt;F56,"Parcial",IF(H56=F56,"Completa","Recepción excedida"))))))</x:f>
      </x:c>
    </x:row>
    <x:row r="57">
      <x:c r="A57" s="44"/>
      <x:c r="B57" s="44"/>
      <x:c r="C57" s="44"/>
      <x:c r="D57" s="44"/>
      <x:c r="E57" s="44"/>
      <x:c r="F57" s="53"/>
      <x:c r="G57" s="53"/>
      <x:c r="H57" s="53"/>
      <x:c r="I57" s="51"/>
      <x:c r="J57" s="44"/>
      <x:c r="K57" s="44"/>
      <x:c r="L57" s="46" t="str">
        <x:f>IF(B57="","",IFERROR(INDEX('ÓRDENES-DE-COMPRA'!$H$11:$H$110,MATCH(B57,'ÓRDENES-DE-COMPRA'!$A$11:$A$110,0)),""))</x:f>
      </x:c>
      <x:c r="M57" s="59" t="str">
        <x:f>IF(OR(B57="",COUNT(F57:G57)&lt;2),"",F57*G57)</x:f>
      </x:c>
      <x:c r="N57" s="59" t="str">
        <x:f>IF(OR(B57="",COUNT(F57:H57)&lt;3),"",IF(L57="Cancelada",0,MIN(F57,H57)*G57))</x:f>
      </x:c>
      <x:c r="O57" s="59" t="str">
        <x:f>IF(OR(B57="",COUNT(F57:H57)&lt;3),"",IF(L57="Cancelada",0,MAX(F57-H57,0)))</x:f>
      </x:c>
      <x:c r="P57" s="59" t="str">
        <x:f>IF(COUNT(O57)=0,"",O57*G57)</x:f>
      </x:c>
      <x:c r="Q57" s="46" t="str">
        <x:f>IF(B57="","",IF(L57="Cancelada","Cancelada",IF(COUNT(H57)=0,"Sin recibir",IF(H57=0,"Sin recibir",IF(H57&lt;F57,"Parcial",IF(H57=F57,"Completa","Recepción excedida"))))))</x:f>
      </x:c>
    </x:row>
    <x:row r="58">
      <x:c r="A58" s="44"/>
      <x:c r="B58" s="44"/>
      <x:c r="C58" s="44"/>
      <x:c r="D58" s="44"/>
      <x:c r="E58" s="44"/>
      <x:c r="F58" s="53"/>
      <x:c r="G58" s="53"/>
      <x:c r="H58" s="53"/>
      <x:c r="I58" s="51"/>
      <x:c r="J58" s="44"/>
      <x:c r="K58" s="44"/>
      <x:c r="L58" s="46" t="str">
        <x:f>IF(B58="","",IFERROR(INDEX('ÓRDENES-DE-COMPRA'!$H$11:$H$110,MATCH(B58,'ÓRDENES-DE-COMPRA'!$A$11:$A$110,0)),""))</x:f>
      </x:c>
      <x:c r="M58" s="59" t="str">
        <x:f>IF(OR(B58="",COUNT(F58:G58)&lt;2),"",F58*G58)</x:f>
      </x:c>
      <x:c r="N58" s="59" t="str">
        <x:f>IF(OR(B58="",COUNT(F58:H58)&lt;3),"",IF(L58="Cancelada",0,MIN(F58,H58)*G58))</x:f>
      </x:c>
      <x:c r="O58" s="59" t="str">
        <x:f>IF(OR(B58="",COUNT(F58:H58)&lt;3),"",IF(L58="Cancelada",0,MAX(F58-H58,0)))</x:f>
      </x:c>
      <x:c r="P58" s="59" t="str">
        <x:f>IF(COUNT(O58)=0,"",O58*G58)</x:f>
      </x:c>
      <x:c r="Q58" s="46" t="str">
        <x:f>IF(B58="","",IF(L58="Cancelada","Cancelada",IF(COUNT(H58)=0,"Sin recibir",IF(H58=0,"Sin recibir",IF(H58&lt;F58,"Parcial",IF(H58=F58,"Completa","Recepción excedida"))))))</x:f>
      </x:c>
    </x:row>
    <x:row r="59">
      <x:c r="A59" s="44"/>
      <x:c r="B59" s="44"/>
      <x:c r="C59" s="44"/>
      <x:c r="D59" s="44"/>
      <x:c r="E59" s="44"/>
      <x:c r="F59" s="53"/>
      <x:c r="G59" s="53"/>
      <x:c r="H59" s="53"/>
      <x:c r="I59" s="51"/>
      <x:c r="J59" s="44"/>
      <x:c r="K59" s="44"/>
      <x:c r="L59" s="46" t="str">
        <x:f>IF(B59="","",IFERROR(INDEX('ÓRDENES-DE-COMPRA'!$H$11:$H$110,MATCH(B59,'ÓRDENES-DE-COMPRA'!$A$11:$A$110,0)),""))</x:f>
      </x:c>
      <x:c r="M59" s="59" t="str">
        <x:f>IF(OR(B59="",COUNT(F59:G59)&lt;2),"",F59*G59)</x:f>
      </x:c>
      <x:c r="N59" s="59" t="str">
        <x:f>IF(OR(B59="",COUNT(F59:H59)&lt;3),"",IF(L59="Cancelada",0,MIN(F59,H59)*G59))</x:f>
      </x:c>
      <x:c r="O59" s="59" t="str">
        <x:f>IF(OR(B59="",COUNT(F59:H59)&lt;3),"",IF(L59="Cancelada",0,MAX(F59-H59,0)))</x:f>
      </x:c>
      <x:c r="P59" s="59" t="str">
        <x:f>IF(COUNT(O59)=0,"",O59*G59)</x:f>
      </x:c>
      <x:c r="Q59" s="46" t="str">
        <x:f>IF(B59="","",IF(L59="Cancelada","Cancelada",IF(COUNT(H59)=0,"Sin recibir",IF(H59=0,"Sin recibir",IF(H59&lt;F59,"Parcial",IF(H59=F59,"Completa","Recepción excedida"))))))</x:f>
      </x:c>
    </x:row>
    <x:row r="60">
      <x:c r="A60" s="44"/>
      <x:c r="B60" s="44"/>
      <x:c r="C60" s="44"/>
      <x:c r="D60" s="44"/>
      <x:c r="E60" s="44"/>
      <x:c r="F60" s="53"/>
      <x:c r="G60" s="53"/>
      <x:c r="H60" s="53"/>
      <x:c r="I60" s="51"/>
      <x:c r="J60" s="44"/>
      <x:c r="K60" s="44"/>
      <x:c r="L60" s="46" t="str">
        <x:f>IF(B60="","",IFERROR(INDEX('ÓRDENES-DE-COMPRA'!$H$11:$H$110,MATCH(B60,'ÓRDENES-DE-COMPRA'!$A$11:$A$110,0)),""))</x:f>
      </x:c>
      <x:c r="M60" s="59" t="str">
        <x:f>IF(OR(B60="",COUNT(F60:G60)&lt;2),"",F60*G60)</x:f>
      </x:c>
      <x:c r="N60" s="59" t="str">
        <x:f>IF(OR(B60="",COUNT(F60:H60)&lt;3),"",IF(L60="Cancelada",0,MIN(F60,H60)*G60))</x:f>
      </x:c>
      <x:c r="O60" s="59" t="str">
        <x:f>IF(OR(B60="",COUNT(F60:H60)&lt;3),"",IF(L60="Cancelada",0,MAX(F60-H60,0)))</x:f>
      </x:c>
      <x:c r="P60" s="59" t="str">
        <x:f>IF(COUNT(O60)=0,"",O60*G60)</x:f>
      </x:c>
      <x:c r="Q60" s="46" t="str">
        <x:f>IF(B60="","",IF(L60="Cancelada","Cancelada",IF(COUNT(H60)=0,"Sin recibir",IF(H60=0,"Sin recibir",IF(H60&lt;F60,"Parcial",IF(H60=F60,"Completa","Recepción excedida"))))))</x:f>
      </x:c>
    </x:row>
    <x:row r="61">
      <x:c r="A61" s="44"/>
      <x:c r="B61" s="44"/>
      <x:c r="C61" s="44"/>
      <x:c r="D61" s="44"/>
      <x:c r="E61" s="44"/>
      <x:c r="F61" s="53"/>
      <x:c r="G61" s="53"/>
      <x:c r="H61" s="53"/>
      <x:c r="I61" s="51"/>
      <x:c r="J61" s="44"/>
      <x:c r="K61" s="44"/>
      <x:c r="L61" s="46" t="str">
        <x:f>IF(B61="","",IFERROR(INDEX('ÓRDENES-DE-COMPRA'!$H$11:$H$110,MATCH(B61,'ÓRDENES-DE-COMPRA'!$A$11:$A$110,0)),""))</x:f>
      </x:c>
      <x:c r="M61" s="59" t="str">
        <x:f>IF(OR(B61="",COUNT(F61:G61)&lt;2),"",F61*G61)</x:f>
      </x:c>
      <x:c r="N61" s="59" t="str">
        <x:f>IF(OR(B61="",COUNT(F61:H61)&lt;3),"",IF(L61="Cancelada",0,MIN(F61,H61)*G61))</x:f>
      </x:c>
      <x:c r="O61" s="59" t="str">
        <x:f>IF(OR(B61="",COUNT(F61:H61)&lt;3),"",IF(L61="Cancelada",0,MAX(F61-H61,0)))</x:f>
      </x:c>
      <x:c r="P61" s="59" t="str">
        <x:f>IF(COUNT(O61)=0,"",O61*G61)</x:f>
      </x:c>
      <x:c r="Q61" s="46" t="str">
        <x:f>IF(B61="","",IF(L61="Cancelada","Cancelada",IF(COUNT(H61)=0,"Sin recibir",IF(H61=0,"Sin recibir",IF(H61&lt;F61,"Parcial",IF(H61=F61,"Completa","Recepción excedida"))))))</x:f>
      </x:c>
    </x:row>
    <x:row r="62">
      <x:c r="A62" s="44"/>
      <x:c r="B62" s="44"/>
      <x:c r="C62" s="44"/>
      <x:c r="D62" s="44"/>
      <x:c r="E62" s="44"/>
      <x:c r="F62" s="53"/>
      <x:c r="G62" s="53"/>
      <x:c r="H62" s="53"/>
      <x:c r="I62" s="51"/>
      <x:c r="J62" s="44"/>
      <x:c r="K62" s="44"/>
      <x:c r="L62" s="46" t="str">
        <x:f>IF(B62="","",IFERROR(INDEX('ÓRDENES-DE-COMPRA'!$H$11:$H$110,MATCH(B62,'ÓRDENES-DE-COMPRA'!$A$11:$A$110,0)),""))</x:f>
      </x:c>
      <x:c r="M62" s="59" t="str">
        <x:f>IF(OR(B62="",COUNT(F62:G62)&lt;2),"",F62*G62)</x:f>
      </x:c>
      <x:c r="N62" s="59" t="str">
        <x:f>IF(OR(B62="",COUNT(F62:H62)&lt;3),"",IF(L62="Cancelada",0,MIN(F62,H62)*G62))</x:f>
      </x:c>
      <x:c r="O62" s="59" t="str">
        <x:f>IF(OR(B62="",COUNT(F62:H62)&lt;3),"",IF(L62="Cancelada",0,MAX(F62-H62,0)))</x:f>
      </x:c>
      <x:c r="P62" s="59" t="str">
        <x:f>IF(COUNT(O62)=0,"",O62*G62)</x:f>
      </x:c>
      <x:c r="Q62" s="46" t="str">
        <x:f>IF(B62="","",IF(L62="Cancelada","Cancelada",IF(COUNT(H62)=0,"Sin recibir",IF(H62=0,"Sin recibir",IF(H62&lt;F62,"Parcial",IF(H62=F62,"Completa","Recepción excedida"))))))</x:f>
      </x:c>
    </x:row>
    <x:row r="63">
      <x:c r="A63" s="44"/>
      <x:c r="B63" s="44"/>
      <x:c r="C63" s="44"/>
      <x:c r="D63" s="44"/>
      <x:c r="E63" s="44"/>
      <x:c r="F63" s="53"/>
      <x:c r="G63" s="53"/>
      <x:c r="H63" s="53"/>
      <x:c r="I63" s="51"/>
      <x:c r="J63" s="44"/>
      <x:c r="K63" s="44"/>
      <x:c r="L63" s="46" t="str">
        <x:f>IF(B63="","",IFERROR(INDEX('ÓRDENES-DE-COMPRA'!$H$11:$H$110,MATCH(B63,'ÓRDENES-DE-COMPRA'!$A$11:$A$110,0)),""))</x:f>
      </x:c>
      <x:c r="M63" s="59" t="str">
        <x:f>IF(OR(B63="",COUNT(F63:G63)&lt;2),"",F63*G63)</x:f>
      </x:c>
      <x:c r="N63" s="59" t="str">
        <x:f>IF(OR(B63="",COUNT(F63:H63)&lt;3),"",IF(L63="Cancelada",0,MIN(F63,H63)*G63))</x:f>
      </x:c>
      <x:c r="O63" s="59" t="str">
        <x:f>IF(OR(B63="",COUNT(F63:H63)&lt;3),"",IF(L63="Cancelada",0,MAX(F63-H63,0)))</x:f>
      </x:c>
      <x:c r="P63" s="59" t="str">
        <x:f>IF(COUNT(O63)=0,"",O63*G63)</x:f>
      </x:c>
      <x:c r="Q63" s="46" t="str">
        <x:f>IF(B63="","",IF(L63="Cancelada","Cancelada",IF(COUNT(H63)=0,"Sin recibir",IF(H63=0,"Sin recibir",IF(H63&lt;F63,"Parcial",IF(H63=F63,"Completa","Recepción excedida"))))))</x:f>
      </x:c>
    </x:row>
    <x:row r="64">
      <x:c r="A64" s="44"/>
      <x:c r="B64" s="44"/>
      <x:c r="C64" s="44"/>
      <x:c r="D64" s="44"/>
      <x:c r="E64" s="44"/>
      <x:c r="F64" s="53"/>
      <x:c r="G64" s="53"/>
      <x:c r="H64" s="53"/>
      <x:c r="I64" s="51"/>
      <x:c r="J64" s="44"/>
      <x:c r="K64" s="44"/>
      <x:c r="L64" s="46" t="str">
        <x:f>IF(B64="","",IFERROR(INDEX('ÓRDENES-DE-COMPRA'!$H$11:$H$110,MATCH(B64,'ÓRDENES-DE-COMPRA'!$A$11:$A$110,0)),""))</x:f>
      </x:c>
      <x:c r="M64" s="59" t="str">
        <x:f>IF(OR(B64="",COUNT(F64:G64)&lt;2),"",F64*G64)</x:f>
      </x:c>
      <x:c r="N64" s="59" t="str">
        <x:f>IF(OR(B64="",COUNT(F64:H64)&lt;3),"",IF(L64="Cancelada",0,MIN(F64,H64)*G64))</x:f>
      </x:c>
      <x:c r="O64" s="59" t="str">
        <x:f>IF(OR(B64="",COUNT(F64:H64)&lt;3),"",IF(L64="Cancelada",0,MAX(F64-H64,0)))</x:f>
      </x:c>
      <x:c r="P64" s="59" t="str">
        <x:f>IF(COUNT(O64)=0,"",O64*G64)</x:f>
      </x:c>
      <x:c r="Q64" s="46" t="str">
        <x:f>IF(B64="","",IF(L64="Cancelada","Cancelada",IF(COUNT(H64)=0,"Sin recibir",IF(H64=0,"Sin recibir",IF(H64&lt;F64,"Parcial",IF(H64=F64,"Completa","Recepción excedida"))))))</x:f>
      </x:c>
    </x:row>
    <x:row r="65">
      <x:c r="A65" s="44"/>
      <x:c r="B65" s="44"/>
      <x:c r="C65" s="44"/>
      <x:c r="D65" s="44"/>
      <x:c r="E65" s="44"/>
      <x:c r="F65" s="53"/>
      <x:c r="G65" s="53"/>
      <x:c r="H65" s="53"/>
      <x:c r="I65" s="51"/>
      <x:c r="J65" s="44"/>
      <x:c r="K65" s="44"/>
      <x:c r="L65" s="46" t="str">
        <x:f>IF(B65="","",IFERROR(INDEX('ÓRDENES-DE-COMPRA'!$H$11:$H$110,MATCH(B65,'ÓRDENES-DE-COMPRA'!$A$11:$A$110,0)),""))</x:f>
      </x:c>
      <x:c r="M65" s="59" t="str">
        <x:f>IF(OR(B65="",COUNT(F65:G65)&lt;2),"",F65*G65)</x:f>
      </x:c>
      <x:c r="N65" s="59" t="str">
        <x:f>IF(OR(B65="",COUNT(F65:H65)&lt;3),"",IF(L65="Cancelada",0,MIN(F65,H65)*G65))</x:f>
      </x:c>
      <x:c r="O65" s="59" t="str">
        <x:f>IF(OR(B65="",COUNT(F65:H65)&lt;3),"",IF(L65="Cancelada",0,MAX(F65-H65,0)))</x:f>
      </x:c>
      <x:c r="P65" s="59" t="str">
        <x:f>IF(COUNT(O65)=0,"",O65*G65)</x:f>
      </x:c>
      <x:c r="Q65" s="46" t="str">
        <x:f>IF(B65="","",IF(L65="Cancelada","Cancelada",IF(COUNT(H65)=0,"Sin recibir",IF(H65=0,"Sin recibir",IF(H65&lt;F65,"Parcial",IF(H65=F65,"Completa","Recepción excedida"))))))</x:f>
      </x:c>
    </x:row>
    <x:row r="66">
      <x:c r="A66" s="44"/>
      <x:c r="B66" s="44"/>
      <x:c r="C66" s="44"/>
      <x:c r="D66" s="44"/>
      <x:c r="E66" s="44"/>
      <x:c r="F66" s="53"/>
      <x:c r="G66" s="53"/>
      <x:c r="H66" s="53"/>
      <x:c r="I66" s="51"/>
      <x:c r="J66" s="44"/>
      <x:c r="K66" s="44"/>
      <x:c r="L66" s="46" t="str">
        <x:f>IF(B66="","",IFERROR(INDEX('ÓRDENES-DE-COMPRA'!$H$11:$H$110,MATCH(B66,'ÓRDENES-DE-COMPRA'!$A$11:$A$110,0)),""))</x:f>
      </x:c>
      <x:c r="M66" s="59" t="str">
        <x:f>IF(OR(B66="",COUNT(F66:G66)&lt;2),"",F66*G66)</x:f>
      </x:c>
      <x:c r="N66" s="59" t="str">
        <x:f>IF(OR(B66="",COUNT(F66:H66)&lt;3),"",IF(L66="Cancelada",0,MIN(F66,H66)*G66))</x:f>
      </x:c>
      <x:c r="O66" s="59" t="str">
        <x:f>IF(OR(B66="",COUNT(F66:H66)&lt;3),"",IF(L66="Cancelada",0,MAX(F66-H66,0)))</x:f>
      </x:c>
      <x:c r="P66" s="59" t="str">
        <x:f>IF(COUNT(O66)=0,"",O66*G66)</x:f>
      </x:c>
      <x:c r="Q66" s="46" t="str">
        <x:f>IF(B66="","",IF(L66="Cancelada","Cancelada",IF(COUNT(H66)=0,"Sin recibir",IF(H66=0,"Sin recibir",IF(H66&lt;F66,"Parcial",IF(H66=F66,"Completa","Recepción excedida"))))))</x:f>
      </x:c>
    </x:row>
    <x:row r="67">
      <x:c r="A67" s="44"/>
      <x:c r="B67" s="44"/>
      <x:c r="C67" s="44"/>
      <x:c r="D67" s="44"/>
      <x:c r="E67" s="44"/>
      <x:c r="F67" s="53"/>
      <x:c r="G67" s="53"/>
      <x:c r="H67" s="53"/>
      <x:c r="I67" s="51"/>
      <x:c r="J67" s="44"/>
      <x:c r="K67" s="44"/>
      <x:c r="L67" s="46" t="str">
        <x:f>IF(B67="","",IFERROR(INDEX('ÓRDENES-DE-COMPRA'!$H$11:$H$110,MATCH(B67,'ÓRDENES-DE-COMPRA'!$A$11:$A$110,0)),""))</x:f>
      </x:c>
      <x:c r="M67" s="59" t="str">
        <x:f>IF(OR(B67="",COUNT(F67:G67)&lt;2),"",F67*G67)</x:f>
      </x:c>
      <x:c r="N67" s="59" t="str">
        <x:f>IF(OR(B67="",COUNT(F67:H67)&lt;3),"",IF(L67="Cancelada",0,MIN(F67,H67)*G67))</x:f>
      </x:c>
      <x:c r="O67" s="59" t="str">
        <x:f>IF(OR(B67="",COUNT(F67:H67)&lt;3),"",IF(L67="Cancelada",0,MAX(F67-H67,0)))</x:f>
      </x:c>
      <x:c r="P67" s="59" t="str">
        <x:f>IF(COUNT(O67)=0,"",O67*G67)</x:f>
      </x:c>
      <x:c r="Q67" s="46" t="str">
        <x:f>IF(B67="","",IF(L67="Cancelada","Cancelada",IF(COUNT(H67)=0,"Sin recibir",IF(H67=0,"Sin recibir",IF(H67&lt;F67,"Parcial",IF(H67=F67,"Completa","Recepción excedida"))))))</x:f>
      </x:c>
    </x:row>
    <x:row r="68">
      <x:c r="A68" s="44"/>
      <x:c r="B68" s="44"/>
      <x:c r="C68" s="44"/>
      <x:c r="D68" s="44"/>
      <x:c r="E68" s="44"/>
      <x:c r="F68" s="53"/>
      <x:c r="G68" s="53"/>
      <x:c r="H68" s="53"/>
      <x:c r="I68" s="51"/>
      <x:c r="J68" s="44"/>
      <x:c r="K68" s="44"/>
      <x:c r="L68" s="46" t="str">
        <x:f>IF(B68="","",IFERROR(INDEX('ÓRDENES-DE-COMPRA'!$H$11:$H$110,MATCH(B68,'ÓRDENES-DE-COMPRA'!$A$11:$A$110,0)),""))</x:f>
      </x:c>
      <x:c r="M68" s="59" t="str">
        <x:f>IF(OR(B68="",COUNT(F68:G68)&lt;2),"",F68*G68)</x:f>
      </x:c>
      <x:c r="N68" s="59" t="str">
        <x:f>IF(OR(B68="",COUNT(F68:H68)&lt;3),"",IF(L68="Cancelada",0,MIN(F68,H68)*G68))</x:f>
      </x:c>
      <x:c r="O68" s="59" t="str">
        <x:f>IF(OR(B68="",COUNT(F68:H68)&lt;3),"",IF(L68="Cancelada",0,MAX(F68-H68,0)))</x:f>
      </x:c>
      <x:c r="P68" s="59" t="str">
        <x:f>IF(COUNT(O68)=0,"",O68*G68)</x:f>
      </x:c>
      <x:c r="Q68" s="46" t="str">
        <x:f>IF(B68="","",IF(L68="Cancelada","Cancelada",IF(COUNT(H68)=0,"Sin recibir",IF(H68=0,"Sin recibir",IF(H68&lt;F68,"Parcial",IF(H68=F68,"Completa","Recepción excedida"))))))</x:f>
      </x:c>
    </x:row>
    <x:row r="69">
      <x:c r="A69" s="44"/>
      <x:c r="B69" s="44"/>
      <x:c r="C69" s="44"/>
      <x:c r="D69" s="44"/>
      <x:c r="E69" s="44"/>
      <x:c r="F69" s="53"/>
      <x:c r="G69" s="53"/>
      <x:c r="H69" s="53"/>
      <x:c r="I69" s="51"/>
      <x:c r="J69" s="44"/>
      <x:c r="K69" s="44"/>
      <x:c r="L69" s="46" t="str">
        <x:f>IF(B69="","",IFERROR(INDEX('ÓRDENES-DE-COMPRA'!$H$11:$H$110,MATCH(B69,'ÓRDENES-DE-COMPRA'!$A$11:$A$110,0)),""))</x:f>
      </x:c>
      <x:c r="M69" s="59" t="str">
        <x:f>IF(OR(B69="",COUNT(F69:G69)&lt;2),"",F69*G69)</x:f>
      </x:c>
      <x:c r="N69" s="59" t="str">
        <x:f>IF(OR(B69="",COUNT(F69:H69)&lt;3),"",IF(L69="Cancelada",0,MIN(F69,H69)*G69))</x:f>
      </x:c>
      <x:c r="O69" s="59" t="str">
        <x:f>IF(OR(B69="",COUNT(F69:H69)&lt;3),"",IF(L69="Cancelada",0,MAX(F69-H69,0)))</x:f>
      </x:c>
      <x:c r="P69" s="59" t="str">
        <x:f>IF(COUNT(O69)=0,"",O69*G69)</x:f>
      </x:c>
      <x:c r="Q69" s="46" t="str">
        <x:f>IF(B69="","",IF(L69="Cancelada","Cancelada",IF(COUNT(H69)=0,"Sin recibir",IF(H69=0,"Sin recibir",IF(H69&lt;F69,"Parcial",IF(H69=F69,"Completa","Recepción excedida"))))))</x:f>
      </x:c>
    </x:row>
    <x:row r="70">
      <x:c r="A70" s="44"/>
      <x:c r="B70" s="44"/>
      <x:c r="C70" s="44"/>
      <x:c r="D70" s="44"/>
      <x:c r="E70" s="44"/>
      <x:c r="F70" s="53"/>
      <x:c r="G70" s="53"/>
      <x:c r="H70" s="53"/>
      <x:c r="I70" s="51"/>
      <x:c r="J70" s="44"/>
      <x:c r="K70" s="44"/>
      <x:c r="L70" s="46" t="str">
        <x:f>IF(B70="","",IFERROR(INDEX('ÓRDENES-DE-COMPRA'!$H$11:$H$110,MATCH(B70,'ÓRDENES-DE-COMPRA'!$A$11:$A$110,0)),""))</x:f>
      </x:c>
      <x:c r="M70" s="59" t="str">
        <x:f>IF(OR(B70="",COUNT(F70:G70)&lt;2),"",F70*G70)</x:f>
      </x:c>
      <x:c r="N70" s="59" t="str">
        <x:f>IF(OR(B70="",COUNT(F70:H70)&lt;3),"",IF(L70="Cancelada",0,MIN(F70,H70)*G70))</x:f>
      </x:c>
      <x:c r="O70" s="59" t="str">
        <x:f>IF(OR(B70="",COUNT(F70:H70)&lt;3),"",IF(L70="Cancelada",0,MAX(F70-H70,0)))</x:f>
      </x:c>
      <x:c r="P70" s="59" t="str">
        <x:f>IF(COUNT(O70)=0,"",O70*G70)</x:f>
      </x:c>
      <x:c r="Q70" s="46" t="str">
        <x:f>IF(B70="","",IF(L70="Cancelada","Cancelada",IF(COUNT(H70)=0,"Sin recibir",IF(H70=0,"Sin recibir",IF(H70&lt;F70,"Parcial",IF(H70=F70,"Completa","Recepción excedida"))))))</x:f>
      </x:c>
    </x:row>
    <x:row r="71">
      <x:c r="A71" s="44"/>
      <x:c r="B71" s="44"/>
      <x:c r="C71" s="44"/>
      <x:c r="D71" s="44"/>
      <x:c r="E71" s="44"/>
      <x:c r="F71" s="53"/>
      <x:c r="G71" s="53"/>
      <x:c r="H71" s="53"/>
      <x:c r="I71" s="51"/>
      <x:c r="J71" s="44"/>
      <x:c r="K71" s="44"/>
      <x:c r="L71" s="46" t="str">
        <x:f>IF(B71="","",IFERROR(INDEX('ÓRDENES-DE-COMPRA'!$H$11:$H$110,MATCH(B71,'ÓRDENES-DE-COMPRA'!$A$11:$A$110,0)),""))</x:f>
      </x:c>
      <x:c r="M71" s="59" t="str">
        <x:f>IF(OR(B71="",COUNT(F71:G71)&lt;2),"",F71*G71)</x:f>
      </x:c>
      <x:c r="N71" s="59" t="str">
        <x:f>IF(OR(B71="",COUNT(F71:H71)&lt;3),"",IF(L71="Cancelada",0,MIN(F71,H71)*G71))</x:f>
      </x:c>
      <x:c r="O71" s="59" t="str">
        <x:f>IF(OR(B71="",COUNT(F71:H71)&lt;3),"",IF(L71="Cancelada",0,MAX(F71-H71,0)))</x:f>
      </x:c>
      <x:c r="P71" s="59" t="str">
        <x:f>IF(COUNT(O71)=0,"",O71*G71)</x:f>
      </x:c>
      <x:c r="Q71" s="46" t="str">
        <x:f>IF(B71="","",IF(L71="Cancelada","Cancelada",IF(COUNT(H71)=0,"Sin recibir",IF(H71=0,"Sin recibir",IF(H71&lt;F71,"Parcial",IF(H71=F71,"Completa","Recepción excedida"))))))</x:f>
      </x:c>
    </x:row>
    <x:row r="72">
      <x:c r="A72" s="44"/>
      <x:c r="B72" s="44"/>
      <x:c r="C72" s="44"/>
      <x:c r="D72" s="44"/>
      <x:c r="E72" s="44"/>
      <x:c r="F72" s="53"/>
      <x:c r="G72" s="53"/>
      <x:c r="H72" s="53"/>
      <x:c r="I72" s="51"/>
      <x:c r="J72" s="44"/>
      <x:c r="K72" s="44"/>
      <x:c r="L72" s="46" t="str">
        <x:f>IF(B72="","",IFERROR(INDEX('ÓRDENES-DE-COMPRA'!$H$11:$H$110,MATCH(B72,'ÓRDENES-DE-COMPRA'!$A$11:$A$110,0)),""))</x:f>
      </x:c>
      <x:c r="M72" s="59" t="str">
        <x:f>IF(OR(B72="",COUNT(F72:G72)&lt;2),"",F72*G72)</x:f>
      </x:c>
      <x:c r="N72" s="59" t="str">
        <x:f>IF(OR(B72="",COUNT(F72:H72)&lt;3),"",IF(L72="Cancelada",0,MIN(F72,H72)*G72))</x:f>
      </x:c>
      <x:c r="O72" s="59" t="str">
        <x:f>IF(OR(B72="",COUNT(F72:H72)&lt;3),"",IF(L72="Cancelada",0,MAX(F72-H72,0)))</x:f>
      </x:c>
      <x:c r="P72" s="59" t="str">
        <x:f>IF(COUNT(O72)=0,"",O72*G72)</x:f>
      </x:c>
      <x:c r="Q72" s="46" t="str">
        <x:f>IF(B72="","",IF(L72="Cancelada","Cancelada",IF(COUNT(H72)=0,"Sin recibir",IF(H72=0,"Sin recibir",IF(H72&lt;F72,"Parcial",IF(H72=F72,"Completa","Recepción excedida"))))))</x:f>
      </x:c>
    </x:row>
    <x:row r="73">
      <x:c r="A73" s="44"/>
      <x:c r="B73" s="44"/>
      <x:c r="C73" s="44"/>
      <x:c r="D73" s="44"/>
      <x:c r="E73" s="44"/>
      <x:c r="F73" s="53"/>
      <x:c r="G73" s="53"/>
      <x:c r="H73" s="53"/>
      <x:c r="I73" s="51"/>
      <x:c r="J73" s="44"/>
      <x:c r="K73" s="44"/>
      <x:c r="L73" s="46" t="str">
        <x:f>IF(B73="","",IFERROR(INDEX('ÓRDENES-DE-COMPRA'!$H$11:$H$110,MATCH(B73,'ÓRDENES-DE-COMPRA'!$A$11:$A$110,0)),""))</x:f>
      </x:c>
      <x:c r="M73" s="59" t="str">
        <x:f>IF(OR(B73="",COUNT(F73:G73)&lt;2),"",F73*G73)</x:f>
      </x:c>
      <x:c r="N73" s="59" t="str">
        <x:f>IF(OR(B73="",COUNT(F73:H73)&lt;3),"",IF(L73="Cancelada",0,MIN(F73,H73)*G73))</x:f>
      </x:c>
      <x:c r="O73" s="59" t="str">
        <x:f>IF(OR(B73="",COUNT(F73:H73)&lt;3),"",IF(L73="Cancelada",0,MAX(F73-H73,0)))</x:f>
      </x:c>
      <x:c r="P73" s="59" t="str">
        <x:f>IF(COUNT(O73)=0,"",O73*G73)</x:f>
      </x:c>
      <x:c r="Q73" s="46" t="str">
        <x:f>IF(B73="","",IF(L73="Cancelada","Cancelada",IF(COUNT(H73)=0,"Sin recibir",IF(H73=0,"Sin recibir",IF(H73&lt;F73,"Parcial",IF(H73=F73,"Completa","Recepción excedida"))))))</x:f>
      </x:c>
    </x:row>
    <x:row r="74">
      <x:c r="A74" s="44"/>
      <x:c r="B74" s="44"/>
      <x:c r="C74" s="44"/>
      <x:c r="D74" s="44"/>
      <x:c r="E74" s="44"/>
      <x:c r="F74" s="53"/>
      <x:c r="G74" s="53"/>
      <x:c r="H74" s="53"/>
      <x:c r="I74" s="51"/>
      <x:c r="J74" s="44"/>
      <x:c r="K74" s="44"/>
      <x:c r="L74" s="46" t="str">
        <x:f>IF(B74="","",IFERROR(INDEX('ÓRDENES-DE-COMPRA'!$H$11:$H$110,MATCH(B74,'ÓRDENES-DE-COMPRA'!$A$11:$A$110,0)),""))</x:f>
      </x:c>
      <x:c r="M74" s="59" t="str">
        <x:f>IF(OR(B74="",COUNT(F74:G74)&lt;2),"",F74*G74)</x:f>
      </x:c>
      <x:c r="N74" s="59" t="str">
        <x:f>IF(OR(B74="",COUNT(F74:H74)&lt;3),"",IF(L74="Cancelada",0,MIN(F74,H74)*G74))</x:f>
      </x:c>
      <x:c r="O74" s="59" t="str">
        <x:f>IF(OR(B74="",COUNT(F74:H74)&lt;3),"",IF(L74="Cancelada",0,MAX(F74-H74,0)))</x:f>
      </x:c>
      <x:c r="P74" s="59" t="str">
        <x:f>IF(COUNT(O74)=0,"",O74*G74)</x:f>
      </x:c>
      <x:c r="Q74" s="46" t="str">
        <x:f>IF(B74="","",IF(L74="Cancelada","Cancelada",IF(COUNT(H74)=0,"Sin recibir",IF(H74=0,"Sin recibir",IF(H74&lt;F74,"Parcial",IF(H74=F74,"Completa","Recepción excedida"))))))</x:f>
      </x:c>
    </x:row>
    <x:row r="75">
      <x:c r="A75" s="44"/>
      <x:c r="B75" s="44"/>
      <x:c r="C75" s="44"/>
      <x:c r="D75" s="44"/>
      <x:c r="E75" s="44"/>
      <x:c r="F75" s="53"/>
      <x:c r="G75" s="53"/>
      <x:c r="H75" s="53"/>
      <x:c r="I75" s="51"/>
      <x:c r="J75" s="44"/>
      <x:c r="K75" s="44"/>
      <x:c r="L75" s="46" t="str">
        <x:f>IF(B75="","",IFERROR(INDEX('ÓRDENES-DE-COMPRA'!$H$11:$H$110,MATCH(B75,'ÓRDENES-DE-COMPRA'!$A$11:$A$110,0)),""))</x:f>
      </x:c>
      <x:c r="M75" s="59" t="str">
        <x:f>IF(OR(B75="",COUNT(F75:G75)&lt;2),"",F75*G75)</x:f>
      </x:c>
      <x:c r="N75" s="59" t="str">
        <x:f>IF(OR(B75="",COUNT(F75:H75)&lt;3),"",IF(L75="Cancelada",0,MIN(F75,H75)*G75))</x:f>
      </x:c>
      <x:c r="O75" s="59" t="str">
        <x:f>IF(OR(B75="",COUNT(F75:H75)&lt;3),"",IF(L75="Cancelada",0,MAX(F75-H75,0)))</x:f>
      </x:c>
      <x:c r="P75" s="59" t="str">
        <x:f>IF(COUNT(O75)=0,"",O75*G75)</x:f>
      </x:c>
      <x:c r="Q75" s="46" t="str">
        <x:f>IF(B75="","",IF(L75="Cancelada","Cancelada",IF(COUNT(H75)=0,"Sin recibir",IF(H75=0,"Sin recibir",IF(H75&lt;F75,"Parcial",IF(H75=F75,"Completa","Recepción excedida"))))))</x:f>
      </x:c>
    </x:row>
    <x:row r="76">
      <x:c r="A76" s="44"/>
      <x:c r="B76" s="44"/>
      <x:c r="C76" s="44"/>
      <x:c r="D76" s="44"/>
      <x:c r="E76" s="44"/>
      <x:c r="F76" s="53"/>
      <x:c r="G76" s="53"/>
      <x:c r="H76" s="53"/>
      <x:c r="I76" s="51"/>
      <x:c r="J76" s="44"/>
      <x:c r="K76" s="44"/>
      <x:c r="L76" s="46" t="str">
        <x:f>IF(B76="","",IFERROR(INDEX('ÓRDENES-DE-COMPRA'!$H$11:$H$110,MATCH(B76,'ÓRDENES-DE-COMPRA'!$A$11:$A$110,0)),""))</x:f>
      </x:c>
      <x:c r="M76" s="59" t="str">
        <x:f>IF(OR(B76="",COUNT(F76:G76)&lt;2),"",F76*G76)</x:f>
      </x:c>
      <x:c r="N76" s="59" t="str">
        <x:f>IF(OR(B76="",COUNT(F76:H76)&lt;3),"",IF(L76="Cancelada",0,MIN(F76,H76)*G76))</x:f>
      </x:c>
      <x:c r="O76" s="59" t="str">
        <x:f>IF(OR(B76="",COUNT(F76:H76)&lt;3),"",IF(L76="Cancelada",0,MAX(F76-H76,0)))</x:f>
      </x:c>
      <x:c r="P76" s="59" t="str">
        <x:f>IF(COUNT(O76)=0,"",O76*G76)</x:f>
      </x:c>
      <x:c r="Q76" s="46" t="str">
        <x:f>IF(B76="","",IF(L76="Cancelada","Cancelada",IF(COUNT(H76)=0,"Sin recibir",IF(H76=0,"Sin recibir",IF(H76&lt;F76,"Parcial",IF(H76=F76,"Completa","Recepción excedida"))))))</x:f>
      </x:c>
    </x:row>
    <x:row r="77">
      <x:c r="A77" s="44"/>
      <x:c r="B77" s="44"/>
      <x:c r="C77" s="44"/>
      <x:c r="D77" s="44"/>
      <x:c r="E77" s="44"/>
      <x:c r="F77" s="53"/>
      <x:c r="G77" s="53"/>
      <x:c r="H77" s="53"/>
      <x:c r="I77" s="51"/>
      <x:c r="J77" s="44"/>
      <x:c r="K77" s="44"/>
      <x:c r="L77" s="46" t="str">
        <x:f>IF(B77="","",IFERROR(INDEX('ÓRDENES-DE-COMPRA'!$H$11:$H$110,MATCH(B77,'ÓRDENES-DE-COMPRA'!$A$11:$A$110,0)),""))</x:f>
      </x:c>
      <x:c r="M77" s="59" t="str">
        <x:f>IF(OR(B77="",COUNT(F77:G77)&lt;2),"",F77*G77)</x:f>
      </x:c>
      <x:c r="N77" s="59" t="str">
        <x:f>IF(OR(B77="",COUNT(F77:H77)&lt;3),"",IF(L77="Cancelada",0,MIN(F77,H77)*G77))</x:f>
      </x:c>
      <x:c r="O77" s="59" t="str">
        <x:f>IF(OR(B77="",COUNT(F77:H77)&lt;3),"",IF(L77="Cancelada",0,MAX(F77-H77,0)))</x:f>
      </x:c>
      <x:c r="P77" s="59" t="str">
        <x:f>IF(COUNT(O77)=0,"",O77*G77)</x:f>
      </x:c>
      <x:c r="Q77" s="46" t="str">
        <x:f>IF(B77="","",IF(L77="Cancelada","Cancelada",IF(COUNT(H77)=0,"Sin recibir",IF(H77=0,"Sin recibir",IF(H77&lt;F77,"Parcial",IF(H77=F77,"Completa","Recepción excedida"))))))</x:f>
      </x:c>
    </x:row>
    <x:row r="78">
      <x:c r="A78" s="44"/>
      <x:c r="B78" s="44"/>
      <x:c r="C78" s="44"/>
      <x:c r="D78" s="44"/>
      <x:c r="E78" s="44"/>
      <x:c r="F78" s="53"/>
      <x:c r="G78" s="53"/>
      <x:c r="H78" s="53"/>
      <x:c r="I78" s="51"/>
      <x:c r="J78" s="44"/>
      <x:c r="K78" s="44"/>
      <x:c r="L78" s="46" t="str">
        <x:f>IF(B78="","",IFERROR(INDEX('ÓRDENES-DE-COMPRA'!$H$11:$H$110,MATCH(B78,'ÓRDENES-DE-COMPRA'!$A$11:$A$110,0)),""))</x:f>
      </x:c>
      <x:c r="M78" s="59" t="str">
        <x:f>IF(OR(B78="",COUNT(F78:G78)&lt;2),"",F78*G78)</x:f>
      </x:c>
      <x:c r="N78" s="59" t="str">
        <x:f>IF(OR(B78="",COUNT(F78:H78)&lt;3),"",IF(L78="Cancelada",0,MIN(F78,H78)*G78))</x:f>
      </x:c>
      <x:c r="O78" s="59" t="str">
        <x:f>IF(OR(B78="",COUNT(F78:H78)&lt;3),"",IF(L78="Cancelada",0,MAX(F78-H78,0)))</x:f>
      </x:c>
      <x:c r="P78" s="59" t="str">
        <x:f>IF(COUNT(O78)=0,"",O78*G78)</x:f>
      </x:c>
      <x:c r="Q78" s="46" t="str">
        <x:f>IF(B78="","",IF(L78="Cancelada","Cancelada",IF(COUNT(H78)=0,"Sin recibir",IF(H78=0,"Sin recibir",IF(H78&lt;F78,"Parcial",IF(H78=F78,"Completa","Recepción excedida"))))))</x:f>
      </x:c>
    </x:row>
    <x:row r="79">
      <x:c r="A79" s="44"/>
      <x:c r="B79" s="44"/>
      <x:c r="C79" s="44"/>
      <x:c r="D79" s="44"/>
      <x:c r="E79" s="44"/>
      <x:c r="F79" s="53"/>
      <x:c r="G79" s="53"/>
      <x:c r="H79" s="53"/>
      <x:c r="I79" s="51"/>
      <x:c r="J79" s="44"/>
      <x:c r="K79" s="44"/>
      <x:c r="L79" s="46" t="str">
        <x:f>IF(B79="","",IFERROR(INDEX('ÓRDENES-DE-COMPRA'!$H$11:$H$110,MATCH(B79,'ÓRDENES-DE-COMPRA'!$A$11:$A$110,0)),""))</x:f>
      </x:c>
      <x:c r="M79" s="59" t="str">
        <x:f>IF(OR(B79="",COUNT(F79:G79)&lt;2),"",F79*G79)</x:f>
      </x:c>
      <x:c r="N79" s="59" t="str">
        <x:f>IF(OR(B79="",COUNT(F79:H79)&lt;3),"",IF(L79="Cancelada",0,MIN(F79,H79)*G79))</x:f>
      </x:c>
      <x:c r="O79" s="59" t="str">
        <x:f>IF(OR(B79="",COUNT(F79:H79)&lt;3),"",IF(L79="Cancelada",0,MAX(F79-H79,0)))</x:f>
      </x:c>
      <x:c r="P79" s="59" t="str">
        <x:f>IF(COUNT(O79)=0,"",O79*G79)</x:f>
      </x:c>
      <x:c r="Q79" s="46" t="str">
        <x:f>IF(B79="","",IF(L79="Cancelada","Cancelada",IF(COUNT(H79)=0,"Sin recibir",IF(H79=0,"Sin recibir",IF(H79&lt;F79,"Parcial",IF(H79=F79,"Completa","Recepción excedida"))))))</x:f>
      </x:c>
    </x:row>
    <x:row r="80">
      <x:c r="A80" s="44"/>
      <x:c r="B80" s="44"/>
      <x:c r="C80" s="44"/>
      <x:c r="D80" s="44"/>
      <x:c r="E80" s="44"/>
      <x:c r="F80" s="53"/>
      <x:c r="G80" s="53"/>
      <x:c r="H80" s="53"/>
      <x:c r="I80" s="51"/>
      <x:c r="J80" s="44"/>
      <x:c r="K80" s="44"/>
      <x:c r="L80" s="46" t="str">
        <x:f>IF(B80="","",IFERROR(INDEX('ÓRDENES-DE-COMPRA'!$H$11:$H$110,MATCH(B80,'ÓRDENES-DE-COMPRA'!$A$11:$A$110,0)),""))</x:f>
      </x:c>
      <x:c r="M80" s="59" t="str">
        <x:f>IF(OR(B80="",COUNT(F80:G80)&lt;2),"",F80*G80)</x:f>
      </x:c>
      <x:c r="N80" s="59" t="str">
        <x:f>IF(OR(B80="",COUNT(F80:H80)&lt;3),"",IF(L80="Cancelada",0,MIN(F80,H80)*G80))</x:f>
      </x:c>
      <x:c r="O80" s="59" t="str">
        <x:f>IF(OR(B80="",COUNT(F80:H80)&lt;3),"",IF(L80="Cancelada",0,MAX(F80-H80,0)))</x:f>
      </x:c>
      <x:c r="P80" s="59" t="str">
        <x:f>IF(COUNT(O80)=0,"",O80*G80)</x:f>
      </x:c>
      <x:c r="Q80" s="46" t="str">
        <x:f>IF(B80="","",IF(L80="Cancelada","Cancelada",IF(COUNT(H80)=0,"Sin recibir",IF(H80=0,"Sin recibir",IF(H80&lt;F80,"Parcial",IF(H80=F80,"Completa","Recepción excedida"))))))</x:f>
      </x:c>
    </x:row>
    <x:row r="81">
      <x:c r="A81" s="44"/>
      <x:c r="B81" s="44"/>
      <x:c r="C81" s="44"/>
      <x:c r="D81" s="44"/>
      <x:c r="E81" s="44"/>
      <x:c r="F81" s="53"/>
      <x:c r="G81" s="53"/>
      <x:c r="H81" s="53"/>
      <x:c r="I81" s="51"/>
      <x:c r="J81" s="44"/>
      <x:c r="K81" s="44"/>
      <x:c r="L81" s="46" t="str">
        <x:f>IF(B81="","",IFERROR(INDEX('ÓRDENES-DE-COMPRA'!$H$11:$H$110,MATCH(B81,'ÓRDENES-DE-COMPRA'!$A$11:$A$110,0)),""))</x:f>
      </x:c>
      <x:c r="M81" s="59" t="str">
        <x:f>IF(OR(B81="",COUNT(F81:G81)&lt;2),"",F81*G81)</x:f>
      </x:c>
      <x:c r="N81" s="59" t="str">
        <x:f>IF(OR(B81="",COUNT(F81:H81)&lt;3),"",IF(L81="Cancelada",0,MIN(F81,H81)*G81))</x:f>
      </x:c>
      <x:c r="O81" s="59" t="str">
        <x:f>IF(OR(B81="",COUNT(F81:H81)&lt;3),"",IF(L81="Cancelada",0,MAX(F81-H81,0)))</x:f>
      </x:c>
      <x:c r="P81" s="59" t="str">
        <x:f>IF(COUNT(O81)=0,"",O81*G81)</x:f>
      </x:c>
      <x:c r="Q81" s="46" t="str">
        <x:f>IF(B81="","",IF(L81="Cancelada","Cancelada",IF(COUNT(H81)=0,"Sin recibir",IF(H81=0,"Sin recibir",IF(H81&lt;F81,"Parcial",IF(H81=F81,"Completa","Recepción excedida"))))))</x:f>
      </x:c>
    </x:row>
    <x:row r="82">
      <x:c r="A82" s="44"/>
      <x:c r="B82" s="44"/>
      <x:c r="C82" s="44"/>
      <x:c r="D82" s="44"/>
      <x:c r="E82" s="44"/>
      <x:c r="F82" s="53"/>
      <x:c r="G82" s="53"/>
      <x:c r="H82" s="53"/>
      <x:c r="I82" s="51"/>
      <x:c r="J82" s="44"/>
      <x:c r="K82" s="44"/>
      <x:c r="L82" s="46" t="str">
        <x:f>IF(B82="","",IFERROR(INDEX('ÓRDENES-DE-COMPRA'!$H$11:$H$110,MATCH(B82,'ÓRDENES-DE-COMPRA'!$A$11:$A$110,0)),""))</x:f>
      </x:c>
      <x:c r="M82" s="59" t="str">
        <x:f>IF(OR(B82="",COUNT(F82:G82)&lt;2),"",F82*G82)</x:f>
      </x:c>
      <x:c r="N82" s="59" t="str">
        <x:f>IF(OR(B82="",COUNT(F82:H82)&lt;3),"",IF(L82="Cancelada",0,MIN(F82,H82)*G82))</x:f>
      </x:c>
      <x:c r="O82" s="59" t="str">
        <x:f>IF(OR(B82="",COUNT(F82:H82)&lt;3),"",IF(L82="Cancelada",0,MAX(F82-H82,0)))</x:f>
      </x:c>
      <x:c r="P82" s="59" t="str">
        <x:f>IF(COUNT(O82)=0,"",O82*G82)</x:f>
      </x:c>
      <x:c r="Q82" s="46" t="str">
        <x:f>IF(B82="","",IF(L82="Cancelada","Cancelada",IF(COUNT(H82)=0,"Sin recibir",IF(H82=0,"Sin recibir",IF(H82&lt;F82,"Parcial",IF(H82=F82,"Completa","Recepción excedida"))))))</x:f>
      </x:c>
    </x:row>
    <x:row r="83">
      <x:c r="A83" s="44"/>
      <x:c r="B83" s="44"/>
      <x:c r="C83" s="44"/>
      <x:c r="D83" s="44"/>
      <x:c r="E83" s="44"/>
      <x:c r="F83" s="53"/>
      <x:c r="G83" s="53"/>
      <x:c r="H83" s="53"/>
      <x:c r="I83" s="51"/>
      <x:c r="J83" s="44"/>
      <x:c r="K83" s="44"/>
      <x:c r="L83" s="46" t="str">
        <x:f>IF(B83="","",IFERROR(INDEX('ÓRDENES-DE-COMPRA'!$H$11:$H$110,MATCH(B83,'ÓRDENES-DE-COMPRA'!$A$11:$A$110,0)),""))</x:f>
      </x:c>
      <x:c r="M83" s="59" t="str">
        <x:f>IF(OR(B83="",COUNT(F83:G83)&lt;2),"",F83*G83)</x:f>
      </x:c>
      <x:c r="N83" s="59" t="str">
        <x:f>IF(OR(B83="",COUNT(F83:H83)&lt;3),"",IF(L83="Cancelada",0,MIN(F83,H83)*G83))</x:f>
      </x:c>
      <x:c r="O83" s="59" t="str">
        <x:f>IF(OR(B83="",COUNT(F83:H83)&lt;3),"",IF(L83="Cancelada",0,MAX(F83-H83,0)))</x:f>
      </x:c>
      <x:c r="P83" s="59" t="str">
        <x:f>IF(COUNT(O83)=0,"",O83*G83)</x:f>
      </x:c>
      <x:c r="Q83" s="46" t="str">
        <x:f>IF(B83="","",IF(L83="Cancelada","Cancelada",IF(COUNT(H83)=0,"Sin recibir",IF(H83=0,"Sin recibir",IF(H83&lt;F83,"Parcial",IF(H83=F83,"Completa","Recepción excedida"))))))</x:f>
      </x:c>
    </x:row>
    <x:row r="84">
      <x:c r="A84" s="44"/>
      <x:c r="B84" s="44"/>
      <x:c r="C84" s="44"/>
      <x:c r="D84" s="44"/>
      <x:c r="E84" s="44"/>
      <x:c r="F84" s="53"/>
      <x:c r="G84" s="53"/>
      <x:c r="H84" s="53"/>
      <x:c r="I84" s="51"/>
      <x:c r="J84" s="44"/>
      <x:c r="K84" s="44"/>
      <x:c r="L84" s="46" t="str">
        <x:f>IF(B84="","",IFERROR(INDEX('ÓRDENES-DE-COMPRA'!$H$11:$H$110,MATCH(B84,'ÓRDENES-DE-COMPRA'!$A$11:$A$110,0)),""))</x:f>
      </x:c>
      <x:c r="M84" s="59" t="str">
        <x:f>IF(OR(B84="",COUNT(F84:G84)&lt;2),"",F84*G84)</x:f>
      </x:c>
      <x:c r="N84" s="59" t="str">
        <x:f>IF(OR(B84="",COUNT(F84:H84)&lt;3),"",IF(L84="Cancelada",0,MIN(F84,H84)*G84))</x:f>
      </x:c>
      <x:c r="O84" s="59" t="str">
        <x:f>IF(OR(B84="",COUNT(F84:H84)&lt;3),"",IF(L84="Cancelada",0,MAX(F84-H84,0)))</x:f>
      </x:c>
      <x:c r="P84" s="59" t="str">
        <x:f>IF(COUNT(O84)=0,"",O84*G84)</x:f>
      </x:c>
      <x:c r="Q84" s="46" t="str">
        <x:f>IF(B84="","",IF(L84="Cancelada","Cancelada",IF(COUNT(H84)=0,"Sin recibir",IF(H84=0,"Sin recibir",IF(H84&lt;F84,"Parcial",IF(H84=F84,"Completa","Recepción excedida"))))))</x:f>
      </x:c>
    </x:row>
    <x:row r="85">
      <x:c r="A85" s="44"/>
      <x:c r="B85" s="44"/>
      <x:c r="C85" s="44"/>
      <x:c r="D85" s="44"/>
      <x:c r="E85" s="44"/>
      <x:c r="F85" s="53"/>
      <x:c r="G85" s="53"/>
      <x:c r="H85" s="53"/>
      <x:c r="I85" s="51"/>
      <x:c r="J85" s="44"/>
      <x:c r="K85" s="44"/>
      <x:c r="L85" s="46" t="str">
        <x:f>IF(B85="","",IFERROR(INDEX('ÓRDENES-DE-COMPRA'!$H$11:$H$110,MATCH(B85,'ÓRDENES-DE-COMPRA'!$A$11:$A$110,0)),""))</x:f>
      </x:c>
      <x:c r="M85" s="59" t="str">
        <x:f>IF(OR(B85="",COUNT(F85:G85)&lt;2),"",F85*G85)</x:f>
      </x:c>
      <x:c r="N85" s="59" t="str">
        <x:f>IF(OR(B85="",COUNT(F85:H85)&lt;3),"",IF(L85="Cancelada",0,MIN(F85,H85)*G85))</x:f>
      </x:c>
      <x:c r="O85" s="59" t="str">
        <x:f>IF(OR(B85="",COUNT(F85:H85)&lt;3),"",IF(L85="Cancelada",0,MAX(F85-H85,0)))</x:f>
      </x:c>
      <x:c r="P85" s="59" t="str">
        <x:f>IF(COUNT(O85)=0,"",O85*G85)</x:f>
      </x:c>
      <x:c r="Q85" s="46" t="str">
        <x:f>IF(B85="","",IF(L85="Cancelada","Cancelada",IF(COUNT(H85)=0,"Sin recibir",IF(H85=0,"Sin recibir",IF(H85&lt;F85,"Parcial",IF(H85=F85,"Completa","Recepción excedida"))))))</x:f>
      </x:c>
    </x:row>
    <x:row r="86">
      <x:c r="A86" s="44"/>
      <x:c r="B86" s="44"/>
      <x:c r="C86" s="44"/>
      <x:c r="D86" s="44"/>
      <x:c r="E86" s="44"/>
      <x:c r="F86" s="53"/>
      <x:c r="G86" s="53"/>
      <x:c r="H86" s="53"/>
      <x:c r="I86" s="51"/>
      <x:c r="J86" s="44"/>
      <x:c r="K86" s="44"/>
      <x:c r="L86" s="46" t="str">
        <x:f>IF(B86="","",IFERROR(INDEX('ÓRDENES-DE-COMPRA'!$H$11:$H$110,MATCH(B86,'ÓRDENES-DE-COMPRA'!$A$11:$A$110,0)),""))</x:f>
      </x:c>
      <x:c r="M86" s="59" t="str">
        <x:f>IF(OR(B86="",COUNT(F86:G86)&lt;2),"",F86*G86)</x:f>
      </x:c>
      <x:c r="N86" s="59" t="str">
        <x:f>IF(OR(B86="",COUNT(F86:H86)&lt;3),"",IF(L86="Cancelada",0,MIN(F86,H86)*G86))</x:f>
      </x:c>
      <x:c r="O86" s="59" t="str">
        <x:f>IF(OR(B86="",COUNT(F86:H86)&lt;3),"",IF(L86="Cancelada",0,MAX(F86-H86,0)))</x:f>
      </x:c>
      <x:c r="P86" s="59" t="str">
        <x:f>IF(COUNT(O86)=0,"",O86*G86)</x:f>
      </x:c>
      <x:c r="Q86" s="46" t="str">
        <x:f>IF(B86="","",IF(L86="Cancelada","Cancelada",IF(COUNT(H86)=0,"Sin recibir",IF(H86=0,"Sin recibir",IF(H86&lt;F86,"Parcial",IF(H86=F86,"Completa","Recepción excedida"))))))</x:f>
      </x:c>
    </x:row>
    <x:row r="87">
      <x:c r="A87" s="44"/>
      <x:c r="B87" s="44"/>
      <x:c r="C87" s="44"/>
      <x:c r="D87" s="44"/>
      <x:c r="E87" s="44"/>
      <x:c r="F87" s="53"/>
      <x:c r="G87" s="53"/>
      <x:c r="H87" s="53"/>
      <x:c r="I87" s="51"/>
      <x:c r="J87" s="44"/>
      <x:c r="K87" s="44"/>
      <x:c r="L87" s="46" t="str">
        <x:f>IF(B87="","",IFERROR(INDEX('ÓRDENES-DE-COMPRA'!$H$11:$H$110,MATCH(B87,'ÓRDENES-DE-COMPRA'!$A$11:$A$110,0)),""))</x:f>
      </x:c>
      <x:c r="M87" s="59" t="str">
        <x:f>IF(OR(B87="",COUNT(F87:G87)&lt;2),"",F87*G87)</x:f>
      </x:c>
      <x:c r="N87" s="59" t="str">
        <x:f>IF(OR(B87="",COUNT(F87:H87)&lt;3),"",IF(L87="Cancelada",0,MIN(F87,H87)*G87))</x:f>
      </x:c>
      <x:c r="O87" s="59" t="str">
        <x:f>IF(OR(B87="",COUNT(F87:H87)&lt;3),"",IF(L87="Cancelada",0,MAX(F87-H87,0)))</x:f>
      </x:c>
      <x:c r="P87" s="59" t="str">
        <x:f>IF(COUNT(O87)=0,"",O87*G87)</x:f>
      </x:c>
      <x:c r="Q87" s="46" t="str">
        <x:f>IF(B87="","",IF(L87="Cancelada","Cancelada",IF(COUNT(H87)=0,"Sin recibir",IF(H87=0,"Sin recibir",IF(H87&lt;F87,"Parcial",IF(H87=F87,"Completa","Recepción excedida"))))))</x:f>
      </x:c>
    </x:row>
    <x:row r="88">
      <x:c r="A88" s="44"/>
      <x:c r="B88" s="44"/>
      <x:c r="C88" s="44"/>
      <x:c r="D88" s="44"/>
      <x:c r="E88" s="44"/>
      <x:c r="F88" s="53"/>
      <x:c r="G88" s="53"/>
      <x:c r="H88" s="53"/>
      <x:c r="I88" s="51"/>
      <x:c r="J88" s="44"/>
      <x:c r="K88" s="44"/>
      <x:c r="L88" s="46" t="str">
        <x:f>IF(B88="","",IFERROR(INDEX('ÓRDENES-DE-COMPRA'!$H$11:$H$110,MATCH(B88,'ÓRDENES-DE-COMPRA'!$A$11:$A$110,0)),""))</x:f>
      </x:c>
      <x:c r="M88" s="59" t="str">
        <x:f>IF(OR(B88="",COUNT(F88:G88)&lt;2),"",F88*G88)</x:f>
      </x:c>
      <x:c r="N88" s="59" t="str">
        <x:f>IF(OR(B88="",COUNT(F88:H88)&lt;3),"",IF(L88="Cancelada",0,MIN(F88,H88)*G88))</x:f>
      </x:c>
      <x:c r="O88" s="59" t="str">
        <x:f>IF(OR(B88="",COUNT(F88:H88)&lt;3),"",IF(L88="Cancelada",0,MAX(F88-H88,0)))</x:f>
      </x:c>
      <x:c r="P88" s="59" t="str">
        <x:f>IF(COUNT(O88)=0,"",O88*G88)</x:f>
      </x:c>
      <x:c r="Q88" s="46" t="str">
        <x:f>IF(B88="","",IF(L88="Cancelada","Cancelada",IF(COUNT(H88)=0,"Sin recibir",IF(H88=0,"Sin recibir",IF(H88&lt;F88,"Parcial",IF(H88=F88,"Completa","Recepción excedida"))))))</x:f>
      </x:c>
    </x:row>
    <x:row r="89">
      <x:c r="A89" s="44"/>
      <x:c r="B89" s="44"/>
      <x:c r="C89" s="44"/>
      <x:c r="D89" s="44"/>
      <x:c r="E89" s="44"/>
      <x:c r="F89" s="53"/>
      <x:c r="G89" s="53"/>
      <x:c r="H89" s="53"/>
      <x:c r="I89" s="51"/>
      <x:c r="J89" s="44"/>
      <x:c r="K89" s="44"/>
      <x:c r="L89" s="46" t="str">
        <x:f>IF(B89="","",IFERROR(INDEX('ÓRDENES-DE-COMPRA'!$H$11:$H$110,MATCH(B89,'ÓRDENES-DE-COMPRA'!$A$11:$A$110,0)),""))</x:f>
      </x:c>
      <x:c r="M89" s="59" t="str">
        <x:f>IF(OR(B89="",COUNT(F89:G89)&lt;2),"",F89*G89)</x:f>
      </x:c>
      <x:c r="N89" s="59" t="str">
        <x:f>IF(OR(B89="",COUNT(F89:H89)&lt;3),"",IF(L89="Cancelada",0,MIN(F89,H89)*G89))</x:f>
      </x:c>
      <x:c r="O89" s="59" t="str">
        <x:f>IF(OR(B89="",COUNT(F89:H89)&lt;3),"",IF(L89="Cancelada",0,MAX(F89-H89,0)))</x:f>
      </x:c>
      <x:c r="P89" s="59" t="str">
        <x:f>IF(COUNT(O89)=0,"",O89*G89)</x:f>
      </x:c>
      <x:c r="Q89" s="46" t="str">
        <x:f>IF(B89="","",IF(L89="Cancelada","Cancelada",IF(COUNT(H89)=0,"Sin recibir",IF(H89=0,"Sin recibir",IF(H89&lt;F89,"Parcial",IF(H89=F89,"Completa","Recepción excedida"))))))</x:f>
      </x:c>
    </x:row>
    <x:row r="90">
      <x:c r="A90" s="44"/>
      <x:c r="B90" s="44"/>
      <x:c r="C90" s="44"/>
      <x:c r="D90" s="44"/>
      <x:c r="E90" s="44"/>
      <x:c r="F90" s="53"/>
      <x:c r="G90" s="53"/>
      <x:c r="H90" s="53"/>
      <x:c r="I90" s="51"/>
      <x:c r="J90" s="44"/>
      <x:c r="K90" s="44"/>
      <x:c r="L90" s="46" t="str">
        <x:f>IF(B90="","",IFERROR(INDEX('ÓRDENES-DE-COMPRA'!$H$11:$H$110,MATCH(B90,'ÓRDENES-DE-COMPRA'!$A$11:$A$110,0)),""))</x:f>
      </x:c>
      <x:c r="M90" s="59" t="str">
        <x:f>IF(OR(B90="",COUNT(F90:G90)&lt;2),"",F90*G90)</x:f>
      </x:c>
      <x:c r="N90" s="59" t="str">
        <x:f>IF(OR(B90="",COUNT(F90:H90)&lt;3),"",IF(L90="Cancelada",0,MIN(F90,H90)*G90))</x:f>
      </x:c>
      <x:c r="O90" s="59" t="str">
        <x:f>IF(OR(B90="",COUNT(F90:H90)&lt;3),"",IF(L90="Cancelada",0,MAX(F90-H90,0)))</x:f>
      </x:c>
      <x:c r="P90" s="59" t="str">
        <x:f>IF(COUNT(O90)=0,"",O90*G90)</x:f>
      </x:c>
      <x:c r="Q90" s="46" t="str">
        <x:f>IF(B90="","",IF(L90="Cancelada","Cancelada",IF(COUNT(H90)=0,"Sin recibir",IF(H90=0,"Sin recibir",IF(H90&lt;F90,"Parcial",IF(H90=F90,"Completa","Recepción excedida"))))))</x:f>
      </x:c>
    </x:row>
    <x:row r="91">
      <x:c r="A91" s="44"/>
      <x:c r="B91" s="44"/>
      <x:c r="C91" s="44"/>
      <x:c r="D91" s="44"/>
      <x:c r="E91" s="44"/>
      <x:c r="F91" s="53"/>
      <x:c r="G91" s="53"/>
      <x:c r="H91" s="53"/>
      <x:c r="I91" s="51"/>
      <x:c r="J91" s="44"/>
      <x:c r="K91" s="44"/>
      <x:c r="L91" s="46" t="str">
        <x:f>IF(B91="","",IFERROR(INDEX('ÓRDENES-DE-COMPRA'!$H$11:$H$110,MATCH(B91,'ÓRDENES-DE-COMPRA'!$A$11:$A$110,0)),""))</x:f>
      </x:c>
      <x:c r="M91" s="59" t="str">
        <x:f>IF(OR(B91="",COUNT(F91:G91)&lt;2),"",F91*G91)</x:f>
      </x:c>
      <x:c r="N91" s="59" t="str">
        <x:f>IF(OR(B91="",COUNT(F91:H91)&lt;3),"",IF(L91="Cancelada",0,MIN(F91,H91)*G91))</x:f>
      </x:c>
      <x:c r="O91" s="59" t="str">
        <x:f>IF(OR(B91="",COUNT(F91:H91)&lt;3),"",IF(L91="Cancelada",0,MAX(F91-H91,0)))</x:f>
      </x:c>
      <x:c r="P91" s="59" t="str">
        <x:f>IF(COUNT(O91)=0,"",O91*G91)</x:f>
      </x:c>
      <x:c r="Q91" s="46" t="str">
        <x:f>IF(B91="","",IF(L91="Cancelada","Cancelada",IF(COUNT(H91)=0,"Sin recibir",IF(H91=0,"Sin recibir",IF(H91&lt;F91,"Parcial",IF(H91=F91,"Completa","Recepción excedida"))))))</x:f>
      </x:c>
    </x:row>
    <x:row r="92">
      <x:c r="A92" s="44"/>
      <x:c r="B92" s="44"/>
      <x:c r="C92" s="44"/>
      <x:c r="D92" s="44"/>
      <x:c r="E92" s="44"/>
      <x:c r="F92" s="53"/>
      <x:c r="G92" s="53"/>
      <x:c r="H92" s="53"/>
      <x:c r="I92" s="51"/>
      <x:c r="J92" s="44"/>
      <x:c r="K92" s="44"/>
      <x:c r="L92" s="46" t="str">
        <x:f>IF(B92="","",IFERROR(INDEX('ÓRDENES-DE-COMPRA'!$H$11:$H$110,MATCH(B92,'ÓRDENES-DE-COMPRA'!$A$11:$A$110,0)),""))</x:f>
      </x:c>
      <x:c r="M92" s="59" t="str">
        <x:f>IF(OR(B92="",COUNT(F92:G92)&lt;2),"",F92*G92)</x:f>
      </x:c>
      <x:c r="N92" s="59" t="str">
        <x:f>IF(OR(B92="",COUNT(F92:H92)&lt;3),"",IF(L92="Cancelada",0,MIN(F92,H92)*G92))</x:f>
      </x:c>
      <x:c r="O92" s="59" t="str">
        <x:f>IF(OR(B92="",COUNT(F92:H92)&lt;3),"",IF(L92="Cancelada",0,MAX(F92-H92,0)))</x:f>
      </x:c>
      <x:c r="P92" s="59" t="str">
        <x:f>IF(COUNT(O92)=0,"",O92*G92)</x:f>
      </x:c>
      <x:c r="Q92" s="46" t="str">
        <x:f>IF(B92="","",IF(L92="Cancelada","Cancelada",IF(COUNT(H92)=0,"Sin recibir",IF(H92=0,"Sin recibir",IF(H92&lt;F92,"Parcial",IF(H92=F92,"Completa","Recepción excedida"))))))</x:f>
      </x:c>
    </x:row>
    <x:row r="93">
      <x:c r="A93" s="44"/>
      <x:c r="B93" s="44"/>
      <x:c r="C93" s="44"/>
      <x:c r="D93" s="44"/>
      <x:c r="E93" s="44"/>
      <x:c r="F93" s="53"/>
      <x:c r="G93" s="53"/>
      <x:c r="H93" s="53"/>
      <x:c r="I93" s="51"/>
      <x:c r="J93" s="44"/>
      <x:c r="K93" s="44"/>
      <x:c r="L93" s="46" t="str">
        <x:f>IF(B93="","",IFERROR(INDEX('ÓRDENES-DE-COMPRA'!$H$11:$H$110,MATCH(B93,'ÓRDENES-DE-COMPRA'!$A$11:$A$110,0)),""))</x:f>
      </x:c>
      <x:c r="M93" s="59" t="str">
        <x:f>IF(OR(B93="",COUNT(F93:G93)&lt;2),"",F93*G93)</x:f>
      </x:c>
      <x:c r="N93" s="59" t="str">
        <x:f>IF(OR(B93="",COUNT(F93:H93)&lt;3),"",IF(L93="Cancelada",0,MIN(F93,H93)*G93))</x:f>
      </x:c>
      <x:c r="O93" s="59" t="str">
        <x:f>IF(OR(B93="",COUNT(F93:H93)&lt;3),"",IF(L93="Cancelada",0,MAX(F93-H93,0)))</x:f>
      </x:c>
      <x:c r="P93" s="59" t="str">
        <x:f>IF(COUNT(O93)=0,"",O93*G93)</x:f>
      </x:c>
      <x:c r="Q93" s="46" t="str">
        <x:f>IF(B93="","",IF(L93="Cancelada","Cancelada",IF(COUNT(H93)=0,"Sin recibir",IF(H93=0,"Sin recibir",IF(H93&lt;F93,"Parcial",IF(H93=F93,"Completa","Recepción excedida"))))))</x:f>
      </x:c>
    </x:row>
    <x:row r="94">
      <x:c r="A94" s="44"/>
      <x:c r="B94" s="44"/>
      <x:c r="C94" s="44"/>
      <x:c r="D94" s="44"/>
      <x:c r="E94" s="44"/>
      <x:c r="F94" s="53"/>
      <x:c r="G94" s="53"/>
      <x:c r="H94" s="53"/>
      <x:c r="I94" s="51"/>
      <x:c r="J94" s="44"/>
      <x:c r="K94" s="44"/>
      <x:c r="L94" s="46" t="str">
        <x:f>IF(B94="","",IFERROR(INDEX('ÓRDENES-DE-COMPRA'!$H$11:$H$110,MATCH(B94,'ÓRDENES-DE-COMPRA'!$A$11:$A$110,0)),""))</x:f>
      </x:c>
      <x:c r="M94" s="59" t="str">
        <x:f>IF(OR(B94="",COUNT(F94:G94)&lt;2),"",F94*G94)</x:f>
      </x:c>
      <x:c r="N94" s="59" t="str">
        <x:f>IF(OR(B94="",COUNT(F94:H94)&lt;3),"",IF(L94="Cancelada",0,MIN(F94,H94)*G94))</x:f>
      </x:c>
      <x:c r="O94" s="59" t="str">
        <x:f>IF(OR(B94="",COUNT(F94:H94)&lt;3),"",IF(L94="Cancelada",0,MAX(F94-H94,0)))</x:f>
      </x:c>
      <x:c r="P94" s="59" t="str">
        <x:f>IF(COUNT(O94)=0,"",O94*G94)</x:f>
      </x:c>
      <x:c r="Q94" s="46" t="str">
        <x:f>IF(B94="","",IF(L94="Cancelada","Cancelada",IF(COUNT(H94)=0,"Sin recibir",IF(H94=0,"Sin recibir",IF(H94&lt;F94,"Parcial",IF(H94=F94,"Completa","Recepción excedida"))))))</x:f>
      </x:c>
    </x:row>
    <x:row r="95">
      <x:c r="A95" s="44"/>
      <x:c r="B95" s="44"/>
      <x:c r="C95" s="44"/>
      <x:c r="D95" s="44"/>
      <x:c r="E95" s="44"/>
      <x:c r="F95" s="53"/>
      <x:c r="G95" s="53"/>
      <x:c r="H95" s="53"/>
      <x:c r="I95" s="51"/>
      <x:c r="J95" s="44"/>
      <x:c r="K95" s="44"/>
      <x:c r="L95" s="46" t="str">
        <x:f>IF(B95="","",IFERROR(INDEX('ÓRDENES-DE-COMPRA'!$H$11:$H$110,MATCH(B95,'ÓRDENES-DE-COMPRA'!$A$11:$A$110,0)),""))</x:f>
      </x:c>
      <x:c r="M95" s="59" t="str">
        <x:f>IF(OR(B95="",COUNT(F95:G95)&lt;2),"",F95*G95)</x:f>
      </x:c>
      <x:c r="N95" s="59" t="str">
        <x:f>IF(OR(B95="",COUNT(F95:H95)&lt;3),"",IF(L95="Cancelada",0,MIN(F95,H95)*G95))</x:f>
      </x:c>
      <x:c r="O95" s="59" t="str">
        <x:f>IF(OR(B95="",COUNT(F95:H95)&lt;3),"",IF(L95="Cancelada",0,MAX(F95-H95,0)))</x:f>
      </x:c>
      <x:c r="P95" s="59" t="str">
        <x:f>IF(COUNT(O95)=0,"",O95*G95)</x:f>
      </x:c>
      <x:c r="Q95" s="46" t="str">
        <x:f>IF(B95="","",IF(L95="Cancelada","Cancelada",IF(COUNT(H95)=0,"Sin recibir",IF(H95=0,"Sin recibir",IF(H95&lt;F95,"Parcial",IF(H95=F95,"Completa","Recepción excedida"))))))</x:f>
      </x:c>
    </x:row>
    <x:row r="96">
      <x:c r="A96" s="44"/>
      <x:c r="B96" s="44"/>
      <x:c r="C96" s="44"/>
      <x:c r="D96" s="44"/>
      <x:c r="E96" s="44"/>
      <x:c r="F96" s="53"/>
      <x:c r="G96" s="53"/>
      <x:c r="H96" s="53"/>
      <x:c r="I96" s="51"/>
      <x:c r="J96" s="44"/>
      <x:c r="K96" s="44"/>
      <x:c r="L96" s="46" t="str">
        <x:f>IF(B96="","",IFERROR(INDEX('ÓRDENES-DE-COMPRA'!$H$11:$H$110,MATCH(B96,'ÓRDENES-DE-COMPRA'!$A$11:$A$110,0)),""))</x:f>
      </x:c>
      <x:c r="M96" s="59" t="str">
        <x:f>IF(OR(B96="",COUNT(F96:G96)&lt;2),"",F96*G96)</x:f>
      </x:c>
      <x:c r="N96" s="59" t="str">
        <x:f>IF(OR(B96="",COUNT(F96:H96)&lt;3),"",IF(L96="Cancelada",0,MIN(F96,H96)*G96))</x:f>
      </x:c>
      <x:c r="O96" s="59" t="str">
        <x:f>IF(OR(B96="",COUNT(F96:H96)&lt;3),"",IF(L96="Cancelada",0,MAX(F96-H96,0)))</x:f>
      </x:c>
      <x:c r="P96" s="59" t="str">
        <x:f>IF(COUNT(O96)=0,"",O96*G96)</x:f>
      </x:c>
      <x:c r="Q96" s="46" t="str">
        <x:f>IF(B96="","",IF(L96="Cancelada","Cancelada",IF(COUNT(H96)=0,"Sin recibir",IF(H96=0,"Sin recibir",IF(H96&lt;F96,"Parcial",IF(H96=F96,"Completa","Recepción excedida"))))))</x:f>
      </x:c>
    </x:row>
    <x:row r="97">
      <x:c r="A97" s="44"/>
      <x:c r="B97" s="44"/>
      <x:c r="C97" s="44"/>
      <x:c r="D97" s="44"/>
      <x:c r="E97" s="44"/>
      <x:c r="F97" s="53"/>
      <x:c r="G97" s="53"/>
      <x:c r="H97" s="53"/>
      <x:c r="I97" s="51"/>
      <x:c r="J97" s="44"/>
      <x:c r="K97" s="44"/>
      <x:c r="L97" s="46" t="str">
        <x:f>IF(B97="","",IFERROR(INDEX('ÓRDENES-DE-COMPRA'!$H$11:$H$110,MATCH(B97,'ÓRDENES-DE-COMPRA'!$A$11:$A$110,0)),""))</x:f>
      </x:c>
      <x:c r="M97" s="59" t="str">
        <x:f>IF(OR(B97="",COUNT(F97:G97)&lt;2),"",F97*G97)</x:f>
      </x:c>
      <x:c r="N97" s="59" t="str">
        <x:f>IF(OR(B97="",COUNT(F97:H97)&lt;3),"",IF(L97="Cancelada",0,MIN(F97,H97)*G97))</x:f>
      </x:c>
      <x:c r="O97" s="59" t="str">
        <x:f>IF(OR(B97="",COUNT(F97:H97)&lt;3),"",IF(L97="Cancelada",0,MAX(F97-H97,0)))</x:f>
      </x:c>
      <x:c r="P97" s="59" t="str">
        <x:f>IF(COUNT(O97)=0,"",O97*G97)</x:f>
      </x:c>
      <x:c r="Q97" s="46" t="str">
        <x:f>IF(B97="","",IF(L97="Cancelada","Cancelada",IF(COUNT(H97)=0,"Sin recibir",IF(H97=0,"Sin recibir",IF(H97&lt;F97,"Parcial",IF(H97=F97,"Completa","Recepción excedida"))))))</x:f>
      </x:c>
    </x:row>
    <x:row r="98">
      <x:c r="A98" s="44"/>
      <x:c r="B98" s="44"/>
      <x:c r="C98" s="44"/>
      <x:c r="D98" s="44"/>
      <x:c r="E98" s="44"/>
      <x:c r="F98" s="53"/>
      <x:c r="G98" s="53"/>
      <x:c r="H98" s="53"/>
      <x:c r="I98" s="51"/>
      <x:c r="J98" s="44"/>
      <x:c r="K98" s="44"/>
      <x:c r="L98" s="46" t="str">
        <x:f>IF(B98="","",IFERROR(INDEX('ÓRDENES-DE-COMPRA'!$H$11:$H$110,MATCH(B98,'ÓRDENES-DE-COMPRA'!$A$11:$A$110,0)),""))</x:f>
      </x:c>
      <x:c r="M98" s="59" t="str">
        <x:f>IF(OR(B98="",COUNT(F98:G98)&lt;2),"",F98*G98)</x:f>
      </x:c>
      <x:c r="N98" s="59" t="str">
        <x:f>IF(OR(B98="",COUNT(F98:H98)&lt;3),"",IF(L98="Cancelada",0,MIN(F98,H98)*G98))</x:f>
      </x:c>
      <x:c r="O98" s="59" t="str">
        <x:f>IF(OR(B98="",COUNT(F98:H98)&lt;3),"",IF(L98="Cancelada",0,MAX(F98-H98,0)))</x:f>
      </x:c>
      <x:c r="P98" s="59" t="str">
        <x:f>IF(COUNT(O98)=0,"",O98*G98)</x:f>
      </x:c>
      <x:c r="Q98" s="46" t="str">
        <x:f>IF(B98="","",IF(L98="Cancelada","Cancelada",IF(COUNT(H98)=0,"Sin recibir",IF(H98=0,"Sin recibir",IF(H98&lt;F98,"Parcial",IF(H98=F98,"Completa","Recepción excedida"))))))</x:f>
      </x:c>
    </x:row>
    <x:row r="99">
      <x:c r="A99" s="44"/>
      <x:c r="B99" s="44"/>
      <x:c r="C99" s="44"/>
      <x:c r="D99" s="44"/>
      <x:c r="E99" s="44"/>
      <x:c r="F99" s="53"/>
      <x:c r="G99" s="53"/>
      <x:c r="H99" s="53"/>
      <x:c r="I99" s="51"/>
      <x:c r="J99" s="44"/>
      <x:c r="K99" s="44"/>
      <x:c r="L99" s="46" t="str">
        <x:f>IF(B99="","",IFERROR(INDEX('ÓRDENES-DE-COMPRA'!$H$11:$H$110,MATCH(B99,'ÓRDENES-DE-COMPRA'!$A$11:$A$110,0)),""))</x:f>
      </x:c>
      <x:c r="M99" s="59" t="str">
        <x:f>IF(OR(B99="",COUNT(F99:G99)&lt;2),"",F99*G99)</x:f>
      </x:c>
      <x:c r="N99" s="59" t="str">
        <x:f>IF(OR(B99="",COUNT(F99:H99)&lt;3),"",IF(L99="Cancelada",0,MIN(F99,H99)*G99))</x:f>
      </x:c>
      <x:c r="O99" s="59" t="str">
        <x:f>IF(OR(B99="",COUNT(F99:H99)&lt;3),"",IF(L99="Cancelada",0,MAX(F99-H99,0)))</x:f>
      </x:c>
      <x:c r="P99" s="59" t="str">
        <x:f>IF(COUNT(O99)=0,"",O99*G99)</x:f>
      </x:c>
      <x:c r="Q99" s="46" t="str">
        <x:f>IF(B99="","",IF(L99="Cancelada","Cancelada",IF(COUNT(H99)=0,"Sin recibir",IF(H99=0,"Sin recibir",IF(H99&lt;F99,"Parcial",IF(H99=F99,"Completa","Recepción excedida"))))))</x:f>
      </x:c>
    </x:row>
    <x:row r="100">
      <x:c r="A100" s="44"/>
      <x:c r="B100" s="44"/>
      <x:c r="C100" s="44"/>
      <x:c r="D100" s="44"/>
      <x:c r="E100" s="44"/>
      <x:c r="F100" s="53"/>
      <x:c r="G100" s="53"/>
      <x:c r="H100" s="53"/>
      <x:c r="I100" s="51"/>
      <x:c r="J100" s="44"/>
      <x:c r="K100" s="44"/>
      <x:c r="L100" s="46" t="str">
        <x:f>IF(B100="","",IFERROR(INDEX('ÓRDENES-DE-COMPRA'!$H$11:$H$110,MATCH(B100,'ÓRDENES-DE-COMPRA'!$A$11:$A$110,0)),""))</x:f>
      </x:c>
      <x:c r="M100" s="59" t="str">
        <x:f>IF(OR(B100="",COUNT(F100:G100)&lt;2),"",F100*G100)</x:f>
      </x:c>
      <x:c r="N100" s="59" t="str">
        <x:f>IF(OR(B100="",COUNT(F100:H100)&lt;3),"",IF(L100="Cancelada",0,MIN(F100,H100)*G100))</x:f>
      </x:c>
      <x:c r="O100" s="59" t="str">
        <x:f>IF(OR(B100="",COUNT(F100:H100)&lt;3),"",IF(L100="Cancelada",0,MAX(F100-H100,0)))</x:f>
      </x:c>
      <x:c r="P100" s="59" t="str">
        <x:f>IF(COUNT(O100)=0,"",O100*G100)</x:f>
      </x:c>
      <x:c r="Q100" s="46" t="str">
        <x:f>IF(B100="","",IF(L100="Cancelada","Cancelada",IF(COUNT(H100)=0,"Sin recibir",IF(H100=0,"Sin recibir",IF(H100&lt;F100,"Parcial",IF(H100=F100,"Completa","Recepción excedida"))))))</x:f>
      </x:c>
    </x:row>
    <x:row r="101">
      <x:c r="A101" s="44"/>
      <x:c r="B101" s="44"/>
      <x:c r="C101" s="44"/>
      <x:c r="D101" s="44"/>
      <x:c r="E101" s="44"/>
      <x:c r="F101" s="53"/>
      <x:c r="G101" s="53"/>
      <x:c r="H101" s="53"/>
      <x:c r="I101" s="51"/>
      <x:c r="J101" s="44"/>
      <x:c r="K101" s="44"/>
      <x:c r="L101" s="46" t="str">
        <x:f>IF(B101="","",IFERROR(INDEX('ÓRDENES-DE-COMPRA'!$H$11:$H$110,MATCH(B101,'ÓRDENES-DE-COMPRA'!$A$11:$A$110,0)),""))</x:f>
      </x:c>
      <x:c r="M101" s="59" t="str">
        <x:f>IF(OR(B101="",COUNT(F101:G101)&lt;2),"",F101*G101)</x:f>
      </x:c>
      <x:c r="N101" s="59" t="str">
        <x:f>IF(OR(B101="",COUNT(F101:H101)&lt;3),"",IF(L101="Cancelada",0,MIN(F101,H101)*G101))</x:f>
      </x:c>
      <x:c r="O101" s="59" t="str">
        <x:f>IF(OR(B101="",COUNT(F101:H101)&lt;3),"",IF(L101="Cancelada",0,MAX(F101-H101,0)))</x:f>
      </x:c>
      <x:c r="P101" s="59" t="str">
        <x:f>IF(COUNT(O101)=0,"",O101*G101)</x:f>
      </x:c>
      <x:c r="Q101" s="46" t="str">
        <x:f>IF(B101="","",IF(L101="Cancelada","Cancelada",IF(COUNT(H101)=0,"Sin recibir",IF(H101=0,"Sin recibir",IF(H101&lt;F101,"Parcial",IF(H101=F101,"Completa","Recepción excedida"))))))</x:f>
      </x:c>
    </x:row>
    <x:row r="102">
      <x:c r="A102" s="44"/>
      <x:c r="B102" s="44"/>
      <x:c r="C102" s="44"/>
      <x:c r="D102" s="44"/>
      <x:c r="E102" s="44"/>
      <x:c r="F102" s="53"/>
      <x:c r="G102" s="53"/>
      <x:c r="H102" s="53"/>
      <x:c r="I102" s="51"/>
      <x:c r="J102" s="44"/>
      <x:c r="K102" s="44"/>
      <x:c r="L102" s="46" t="str">
        <x:f>IF(B102="","",IFERROR(INDEX('ÓRDENES-DE-COMPRA'!$H$11:$H$110,MATCH(B102,'ÓRDENES-DE-COMPRA'!$A$11:$A$110,0)),""))</x:f>
      </x:c>
      <x:c r="M102" s="59" t="str">
        <x:f>IF(OR(B102="",COUNT(F102:G102)&lt;2),"",F102*G102)</x:f>
      </x:c>
      <x:c r="N102" s="59" t="str">
        <x:f>IF(OR(B102="",COUNT(F102:H102)&lt;3),"",IF(L102="Cancelada",0,MIN(F102,H102)*G102))</x:f>
      </x:c>
      <x:c r="O102" s="59" t="str">
        <x:f>IF(OR(B102="",COUNT(F102:H102)&lt;3),"",IF(L102="Cancelada",0,MAX(F102-H102,0)))</x:f>
      </x:c>
      <x:c r="P102" s="59" t="str">
        <x:f>IF(COUNT(O102)=0,"",O102*G102)</x:f>
      </x:c>
      <x:c r="Q102" s="46" t="str">
        <x:f>IF(B102="","",IF(L102="Cancelada","Cancelada",IF(COUNT(H102)=0,"Sin recibir",IF(H102=0,"Sin recibir",IF(H102&lt;F102,"Parcial",IF(H102=F102,"Completa","Recepción excedida"))))))</x:f>
      </x:c>
    </x:row>
    <x:row r="103">
      <x:c r="A103" s="44"/>
      <x:c r="B103" s="44"/>
      <x:c r="C103" s="44"/>
      <x:c r="D103" s="44"/>
      <x:c r="E103" s="44"/>
      <x:c r="F103" s="53"/>
      <x:c r="G103" s="53"/>
      <x:c r="H103" s="53"/>
      <x:c r="I103" s="51"/>
      <x:c r="J103" s="44"/>
      <x:c r="K103" s="44"/>
      <x:c r="L103" s="46" t="str">
        <x:f>IF(B103="","",IFERROR(INDEX('ÓRDENES-DE-COMPRA'!$H$11:$H$110,MATCH(B103,'ÓRDENES-DE-COMPRA'!$A$11:$A$110,0)),""))</x:f>
      </x:c>
      <x:c r="M103" s="59" t="str">
        <x:f>IF(OR(B103="",COUNT(F103:G103)&lt;2),"",F103*G103)</x:f>
      </x:c>
      <x:c r="N103" s="59" t="str">
        <x:f>IF(OR(B103="",COUNT(F103:H103)&lt;3),"",IF(L103="Cancelada",0,MIN(F103,H103)*G103))</x:f>
      </x:c>
      <x:c r="O103" s="59" t="str">
        <x:f>IF(OR(B103="",COUNT(F103:H103)&lt;3),"",IF(L103="Cancelada",0,MAX(F103-H103,0)))</x:f>
      </x:c>
      <x:c r="P103" s="59" t="str">
        <x:f>IF(COUNT(O103)=0,"",O103*G103)</x:f>
      </x:c>
      <x:c r="Q103" s="46" t="str">
        <x:f>IF(B103="","",IF(L103="Cancelada","Cancelada",IF(COUNT(H103)=0,"Sin recibir",IF(H103=0,"Sin recibir",IF(H103&lt;F103,"Parcial",IF(H103=F103,"Completa","Recepción excedida"))))))</x:f>
      </x:c>
    </x:row>
    <x:row r="104">
      <x:c r="A104" s="44"/>
      <x:c r="B104" s="44"/>
      <x:c r="C104" s="44"/>
      <x:c r="D104" s="44"/>
      <x:c r="E104" s="44"/>
      <x:c r="F104" s="53"/>
      <x:c r="G104" s="53"/>
      <x:c r="H104" s="53"/>
      <x:c r="I104" s="51"/>
      <x:c r="J104" s="44"/>
      <x:c r="K104" s="44"/>
      <x:c r="L104" s="46" t="str">
        <x:f>IF(B104="","",IFERROR(INDEX('ÓRDENES-DE-COMPRA'!$H$11:$H$110,MATCH(B104,'ÓRDENES-DE-COMPRA'!$A$11:$A$110,0)),""))</x:f>
      </x:c>
      <x:c r="M104" s="59" t="str">
        <x:f>IF(OR(B104="",COUNT(F104:G104)&lt;2),"",F104*G104)</x:f>
      </x:c>
      <x:c r="N104" s="59" t="str">
        <x:f>IF(OR(B104="",COUNT(F104:H104)&lt;3),"",IF(L104="Cancelada",0,MIN(F104,H104)*G104))</x:f>
      </x:c>
      <x:c r="O104" s="59" t="str">
        <x:f>IF(OR(B104="",COUNT(F104:H104)&lt;3),"",IF(L104="Cancelada",0,MAX(F104-H104,0)))</x:f>
      </x:c>
      <x:c r="P104" s="59" t="str">
        <x:f>IF(COUNT(O104)=0,"",O104*G104)</x:f>
      </x:c>
      <x:c r="Q104" s="46" t="str">
        <x:f>IF(B104="","",IF(L104="Cancelada","Cancelada",IF(COUNT(H104)=0,"Sin recibir",IF(H104=0,"Sin recibir",IF(H104&lt;F104,"Parcial",IF(H104=F104,"Completa","Recepción excedida"))))))</x:f>
      </x:c>
    </x:row>
    <x:row r="105">
      <x:c r="A105" s="44"/>
      <x:c r="B105" s="44"/>
      <x:c r="C105" s="44"/>
      <x:c r="D105" s="44"/>
      <x:c r="E105" s="44"/>
      <x:c r="F105" s="53"/>
      <x:c r="G105" s="53"/>
      <x:c r="H105" s="53"/>
      <x:c r="I105" s="51"/>
      <x:c r="J105" s="44"/>
      <x:c r="K105" s="44"/>
      <x:c r="L105" s="46" t="str">
        <x:f>IF(B105="","",IFERROR(INDEX('ÓRDENES-DE-COMPRA'!$H$11:$H$110,MATCH(B105,'ÓRDENES-DE-COMPRA'!$A$11:$A$110,0)),""))</x:f>
      </x:c>
      <x:c r="M105" s="59" t="str">
        <x:f>IF(OR(B105="",COUNT(F105:G105)&lt;2),"",F105*G105)</x:f>
      </x:c>
      <x:c r="N105" s="59" t="str">
        <x:f>IF(OR(B105="",COUNT(F105:H105)&lt;3),"",IF(L105="Cancelada",0,MIN(F105,H105)*G105))</x:f>
      </x:c>
      <x:c r="O105" s="59" t="str">
        <x:f>IF(OR(B105="",COUNT(F105:H105)&lt;3),"",IF(L105="Cancelada",0,MAX(F105-H105,0)))</x:f>
      </x:c>
      <x:c r="P105" s="59" t="str">
        <x:f>IF(COUNT(O105)=0,"",O105*G105)</x:f>
      </x:c>
      <x:c r="Q105" s="46" t="str">
        <x:f>IF(B105="","",IF(L105="Cancelada","Cancelada",IF(COUNT(H105)=0,"Sin recibir",IF(H105=0,"Sin recibir",IF(H105&lt;F105,"Parcial",IF(H105=F105,"Completa","Recepción excedida"))))))</x:f>
      </x:c>
    </x:row>
    <x:row r="106">
      <x:c r="A106" s="44"/>
      <x:c r="B106" s="44"/>
      <x:c r="C106" s="44"/>
      <x:c r="D106" s="44"/>
      <x:c r="E106" s="44"/>
      <x:c r="F106" s="53"/>
      <x:c r="G106" s="53"/>
      <x:c r="H106" s="53"/>
      <x:c r="I106" s="51"/>
      <x:c r="J106" s="44"/>
      <x:c r="K106" s="44"/>
      <x:c r="L106" s="46" t="str">
        <x:f>IF(B106="","",IFERROR(INDEX('ÓRDENES-DE-COMPRA'!$H$11:$H$110,MATCH(B106,'ÓRDENES-DE-COMPRA'!$A$11:$A$110,0)),""))</x:f>
      </x:c>
      <x:c r="M106" s="59" t="str">
        <x:f>IF(OR(B106="",COUNT(F106:G106)&lt;2),"",F106*G106)</x:f>
      </x:c>
      <x:c r="N106" s="59" t="str">
        <x:f>IF(OR(B106="",COUNT(F106:H106)&lt;3),"",IF(L106="Cancelada",0,MIN(F106,H106)*G106))</x:f>
      </x:c>
      <x:c r="O106" s="59" t="str">
        <x:f>IF(OR(B106="",COUNT(F106:H106)&lt;3),"",IF(L106="Cancelada",0,MAX(F106-H106,0)))</x:f>
      </x:c>
      <x:c r="P106" s="59" t="str">
        <x:f>IF(COUNT(O106)=0,"",O106*G106)</x:f>
      </x:c>
      <x:c r="Q106" s="46" t="str">
        <x:f>IF(B106="","",IF(L106="Cancelada","Cancelada",IF(COUNT(H106)=0,"Sin recibir",IF(H106=0,"Sin recibir",IF(H106&lt;F106,"Parcial",IF(H106=F106,"Completa","Recepción excedida"))))))</x:f>
      </x:c>
    </x:row>
    <x:row r="107">
      <x:c r="A107" s="44"/>
      <x:c r="B107" s="44"/>
      <x:c r="C107" s="44"/>
      <x:c r="D107" s="44"/>
      <x:c r="E107" s="44"/>
      <x:c r="F107" s="53"/>
      <x:c r="G107" s="53"/>
      <x:c r="H107" s="53"/>
      <x:c r="I107" s="51"/>
      <x:c r="J107" s="44"/>
      <x:c r="K107" s="44"/>
      <x:c r="L107" s="46" t="str">
        <x:f>IF(B107="","",IFERROR(INDEX('ÓRDENES-DE-COMPRA'!$H$11:$H$110,MATCH(B107,'ÓRDENES-DE-COMPRA'!$A$11:$A$110,0)),""))</x:f>
      </x:c>
      <x:c r="M107" s="59" t="str">
        <x:f>IF(OR(B107="",COUNT(F107:G107)&lt;2),"",F107*G107)</x:f>
      </x:c>
      <x:c r="N107" s="59" t="str">
        <x:f>IF(OR(B107="",COUNT(F107:H107)&lt;3),"",IF(L107="Cancelada",0,MIN(F107,H107)*G107))</x:f>
      </x:c>
      <x:c r="O107" s="59" t="str">
        <x:f>IF(OR(B107="",COUNT(F107:H107)&lt;3),"",IF(L107="Cancelada",0,MAX(F107-H107,0)))</x:f>
      </x:c>
      <x:c r="P107" s="59" t="str">
        <x:f>IF(COUNT(O107)=0,"",O107*G107)</x:f>
      </x:c>
      <x:c r="Q107" s="46" t="str">
        <x:f>IF(B107="","",IF(L107="Cancelada","Cancelada",IF(COUNT(H107)=0,"Sin recibir",IF(H107=0,"Sin recibir",IF(H107&lt;F107,"Parcial",IF(H107=F107,"Completa","Recepción excedida"))))))</x:f>
      </x:c>
    </x:row>
    <x:row r="108">
      <x:c r="A108" s="44"/>
      <x:c r="B108" s="44"/>
      <x:c r="C108" s="44"/>
      <x:c r="D108" s="44"/>
      <x:c r="E108" s="44"/>
      <x:c r="F108" s="53"/>
      <x:c r="G108" s="53"/>
      <x:c r="H108" s="53"/>
      <x:c r="I108" s="51"/>
      <x:c r="J108" s="44"/>
      <x:c r="K108" s="44"/>
      <x:c r="L108" s="46" t="str">
        <x:f>IF(B108="","",IFERROR(INDEX('ÓRDENES-DE-COMPRA'!$H$11:$H$110,MATCH(B108,'ÓRDENES-DE-COMPRA'!$A$11:$A$110,0)),""))</x:f>
      </x:c>
      <x:c r="M108" s="59" t="str">
        <x:f>IF(OR(B108="",COUNT(F108:G108)&lt;2),"",F108*G108)</x:f>
      </x:c>
      <x:c r="N108" s="59" t="str">
        <x:f>IF(OR(B108="",COUNT(F108:H108)&lt;3),"",IF(L108="Cancelada",0,MIN(F108,H108)*G108))</x:f>
      </x:c>
      <x:c r="O108" s="59" t="str">
        <x:f>IF(OR(B108="",COUNT(F108:H108)&lt;3),"",IF(L108="Cancelada",0,MAX(F108-H108,0)))</x:f>
      </x:c>
      <x:c r="P108" s="59" t="str">
        <x:f>IF(COUNT(O108)=0,"",O108*G108)</x:f>
      </x:c>
      <x:c r="Q108" s="46" t="str">
        <x:f>IF(B108="","",IF(L108="Cancelada","Cancelada",IF(COUNT(H108)=0,"Sin recibir",IF(H108=0,"Sin recibir",IF(H108&lt;F108,"Parcial",IF(H108=F108,"Completa","Recepción excedida"))))))</x:f>
      </x:c>
    </x:row>
    <x:row r="109">
      <x:c r="A109" s="44"/>
      <x:c r="B109" s="44"/>
      <x:c r="C109" s="44"/>
      <x:c r="D109" s="44"/>
      <x:c r="E109" s="44"/>
      <x:c r="F109" s="53"/>
      <x:c r="G109" s="53"/>
      <x:c r="H109" s="53"/>
      <x:c r="I109" s="51"/>
      <x:c r="J109" s="44"/>
      <x:c r="K109" s="44"/>
      <x:c r="L109" s="46" t="str">
        <x:f>IF(B109="","",IFERROR(INDEX('ÓRDENES-DE-COMPRA'!$H$11:$H$110,MATCH(B109,'ÓRDENES-DE-COMPRA'!$A$11:$A$110,0)),""))</x:f>
      </x:c>
      <x:c r="M109" s="59" t="str">
        <x:f>IF(OR(B109="",COUNT(F109:G109)&lt;2),"",F109*G109)</x:f>
      </x:c>
      <x:c r="N109" s="59" t="str">
        <x:f>IF(OR(B109="",COUNT(F109:H109)&lt;3),"",IF(L109="Cancelada",0,MIN(F109,H109)*G109))</x:f>
      </x:c>
      <x:c r="O109" s="59" t="str">
        <x:f>IF(OR(B109="",COUNT(F109:H109)&lt;3),"",IF(L109="Cancelada",0,MAX(F109-H109,0)))</x:f>
      </x:c>
      <x:c r="P109" s="59" t="str">
        <x:f>IF(COUNT(O109)=0,"",O109*G109)</x:f>
      </x:c>
      <x:c r="Q109" s="46" t="str">
        <x:f>IF(B109="","",IF(L109="Cancelada","Cancelada",IF(COUNT(H109)=0,"Sin recibir",IF(H109=0,"Sin recibir",IF(H109&lt;F109,"Parcial",IF(H109=F109,"Completa","Recepción excedida"))))))</x:f>
      </x:c>
    </x:row>
    <x:row r="110">
      <x:c r="A110" s="44"/>
      <x:c r="B110" s="44"/>
      <x:c r="C110" s="44"/>
      <x:c r="D110" s="44"/>
      <x:c r="E110" s="44"/>
      <x:c r="F110" s="53"/>
      <x:c r="G110" s="53"/>
      <x:c r="H110" s="53"/>
      <x:c r="I110" s="51"/>
      <x:c r="J110" s="44"/>
      <x:c r="K110" s="44"/>
      <x:c r="L110" s="46" t="str">
        <x:f>IF(B110="","",IFERROR(INDEX('ÓRDENES-DE-COMPRA'!$H$11:$H$110,MATCH(B110,'ÓRDENES-DE-COMPRA'!$A$11:$A$110,0)),""))</x:f>
      </x:c>
      <x:c r="M110" s="59" t="str">
        <x:f>IF(OR(B110="",COUNT(F110:G110)&lt;2),"",F110*G110)</x:f>
      </x:c>
      <x:c r="N110" s="59" t="str">
        <x:f>IF(OR(B110="",COUNT(F110:H110)&lt;3),"",IF(L110="Cancelada",0,MIN(F110,H110)*G110))</x:f>
      </x:c>
      <x:c r="O110" s="59" t="str">
        <x:f>IF(OR(B110="",COUNT(F110:H110)&lt;3),"",IF(L110="Cancelada",0,MAX(F110-H110,0)))</x:f>
      </x:c>
      <x:c r="P110" s="59" t="str">
        <x:f>IF(COUNT(O110)=0,"",O110*G110)</x:f>
      </x:c>
      <x:c r="Q110" s="46" t="str">
        <x:f>IF(B110="","",IF(L110="Cancelada","Cancelada",IF(COUNT(H110)=0,"Sin recibir",IF(H110=0,"Sin recibir",IF(H110&lt;F110,"Parcial",IF(H110=F110,"Completa","Recepción excedida"))))))</x:f>
      </x:c>
    </x:row>
    <x:row r="111">
      <x:c r="A111" s="44"/>
      <x:c r="B111" s="44"/>
      <x:c r="C111" s="44"/>
      <x:c r="D111" s="44"/>
      <x:c r="E111" s="44"/>
      <x:c r="F111" s="53"/>
      <x:c r="G111" s="53"/>
      <x:c r="H111" s="53"/>
      <x:c r="I111" s="51"/>
      <x:c r="J111" s="44"/>
      <x:c r="K111" s="44"/>
      <x:c r="L111" s="46" t="str">
        <x:f>IF(B111="","",IFERROR(INDEX('ÓRDENES-DE-COMPRA'!$H$11:$H$110,MATCH(B111,'ÓRDENES-DE-COMPRA'!$A$11:$A$110,0)),""))</x:f>
      </x:c>
      <x:c r="M111" s="59" t="str">
        <x:f>IF(OR(B111="",COUNT(F111:G111)&lt;2),"",F111*G111)</x:f>
      </x:c>
      <x:c r="N111" s="59" t="str">
        <x:f>IF(OR(B111="",COUNT(F111:H111)&lt;3),"",IF(L111="Cancelada",0,MIN(F111,H111)*G111))</x:f>
      </x:c>
      <x:c r="O111" s="59" t="str">
        <x:f>IF(OR(B111="",COUNT(F111:H111)&lt;3),"",IF(L111="Cancelada",0,MAX(F111-H111,0)))</x:f>
      </x:c>
      <x:c r="P111" s="59" t="str">
        <x:f>IF(COUNT(O111)=0,"",O111*G111)</x:f>
      </x:c>
      <x:c r="Q111" s="46" t="str">
        <x:f>IF(B111="","",IF(L111="Cancelada","Cancelada",IF(COUNT(H111)=0,"Sin recibir",IF(H111=0,"Sin recibir",IF(H111&lt;F111,"Parcial",IF(H111=F111,"Completa","Recepción excedida"))))))</x:f>
      </x:c>
    </x:row>
    <x:row r="112">
      <x:c r="A112" s="44"/>
      <x:c r="B112" s="44"/>
      <x:c r="C112" s="44"/>
      <x:c r="D112" s="44"/>
      <x:c r="E112" s="44"/>
      <x:c r="F112" s="53"/>
      <x:c r="G112" s="53"/>
      <x:c r="H112" s="53"/>
      <x:c r="I112" s="51"/>
      <x:c r="J112" s="44"/>
      <x:c r="K112" s="44"/>
      <x:c r="L112" s="46" t="str">
        <x:f>IF(B112="","",IFERROR(INDEX('ÓRDENES-DE-COMPRA'!$H$11:$H$110,MATCH(B112,'ÓRDENES-DE-COMPRA'!$A$11:$A$110,0)),""))</x:f>
      </x:c>
      <x:c r="M112" s="59" t="str">
        <x:f>IF(OR(B112="",COUNT(F112:G112)&lt;2),"",F112*G112)</x:f>
      </x:c>
      <x:c r="N112" s="59" t="str">
        <x:f>IF(OR(B112="",COUNT(F112:H112)&lt;3),"",IF(L112="Cancelada",0,MIN(F112,H112)*G112))</x:f>
      </x:c>
      <x:c r="O112" s="59" t="str">
        <x:f>IF(OR(B112="",COUNT(F112:H112)&lt;3),"",IF(L112="Cancelada",0,MAX(F112-H112,0)))</x:f>
      </x:c>
      <x:c r="P112" s="59" t="str">
        <x:f>IF(COUNT(O112)=0,"",O112*G112)</x:f>
      </x:c>
      <x:c r="Q112" s="46" t="str">
        <x:f>IF(B112="","",IF(L112="Cancelada","Cancelada",IF(COUNT(H112)=0,"Sin recibir",IF(H112=0,"Sin recibir",IF(H112&lt;F112,"Parcial",IF(H112=F112,"Completa","Recepción excedida"))))))</x:f>
      </x:c>
    </x:row>
    <x:row r="113">
      <x:c r="A113" s="44"/>
      <x:c r="B113" s="44"/>
      <x:c r="C113" s="44"/>
      <x:c r="D113" s="44"/>
      <x:c r="E113" s="44"/>
      <x:c r="F113" s="53"/>
      <x:c r="G113" s="53"/>
      <x:c r="H113" s="53"/>
      <x:c r="I113" s="51"/>
      <x:c r="J113" s="44"/>
      <x:c r="K113" s="44"/>
      <x:c r="L113" s="46" t="str">
        <x:f>IF(B113="","",IFERROR(INDEX('ÓRDENES-DE-COMPRA'!$H$11:$H$110,MATCH(B113,'ÓRDENES-DE-COMPRA'!$A$11:$A$110,0)),""))</x:f>
      </x:c>
      <x:c r="M113" s="59" t="str">
        <x:f>IF(OR(B113="",COUNT(F113:G113)&lt;2),"",F113*G113)</x:f>
      </x:c>
      <x:c r="N113" s="59" t="str">
        <x:f>IF(OR(B113="",COUNT(F113:H113)&lt;3),"",IF(L113="Cancelada",0,MIN(F113,H113)*G113))</x:f>
      </x:c>
      <x:c r="O113" s="59" t="str">
        <x:f>IF(OR(B113="",COUNT(F113:H113)&lt;3),"",IF(L113="Cancelada",0,MAX(F113-H113,0)))</x:f>
      </x:c>
      <x:c r="P113" s="59" t="str">
        <x:f>IF(COUNT(O113)=0,"",O113*G113)</x:f>
      </x:c>
      <x:c r="Q113" s="46" t="str">
        <x:f>IF(B113="","",IF(L113="Cancelada","Cancelada",IF(COUNT(H113)=0,"Sin recibir",IF(H113=0,"Sin recibir",IF(H113&lt;F113,"Parcial",IF(H113=F113,"Completa","Recepción excedida"))))))</x:f>
      </x:c>
    </x:row>
    <x:row r="114">
      <x:c r="A114" s="44"/>
      <x:c r="B114" s="44"/>
      <x:c r="C114" s="44"/>
      <x:c r="D114" s="44"/>
      <x:c r="E114" s="44"/>
      <x:c r="F114" s="53"/>
      <x:c r="G114" s="53"/>
      <x:c r="H114" s="53"/>
      <x:c r="I114" s="51"/>
      <x:c r="J114" s="44"/>
      <x:c r="K114" s="44"/>
      <x:c r="L114" s="46" t="str">
        <x:f>IF(B114="","",IFERROR(INDEX('ÓRDENES-DE-COMPRA'!$H$11:$H$110,MATCH(B114,'ÓRDENES-DE-COMPRA'!$A$11:$A$110,0)),""))</x:f>
      </x:c>
      <x:c r="M114" s="59" t="str">
        <x:f>IF(OR(B114="",COUNT(F114:G114)&lt;2),"",F114*G114)</x:f>
      </x:c>
      <x:c r="N114" s="59" t="str">
        <x:f>IF(OR(B114="",COUNT(F114:H114)&lt;3),"",IF(L114="Cancelada",0,MIN(F114,H114)*G114))</x:f>
      </x:c>
      <x:c r="O114" s="59" t="str">
        <x:f>IF(OR(B114="",COUNT(F114:H114)&lt;3),"",IF(L114="Cancelada",0,MAX(F114-H114,0)))</x:f>
      </x:c>
      <x:c r="P114" s="59" t="str">
        <x:f>IF(COUNT(O114)=0,"",O114*G114)</x:f>
      </x:c>
      <x:c r="Q114" s="46" t="str">
        <x:f>IF(B114="","",IF(L114="Cancelada","Cancelada",IF(COUNT(H114)=0,"Sin recibir",IF(H114=0,"Sin recibir",IF(H114&lt;F114,"Parcial",IF(H114=F114,"Completa","Recepción excedida"))))))</x:f>
      </x:c>
    </x:row>
    <x:row r="115">
      <x:c r="A115" s="44"/>
      <x:c r="B115" s="44"/>
      <x:c r="C115" s="44"/>
      <x:c r="D115" s="44"/>
      <x:c r="E115" s="44"/>
      <x:c r="F115" s="53"/>
      <x:c r="G115" s="53"/>
      <x:c r="H115" s="53"/>
      <x:c r="I115" s="51"/>
      <x:c r="J115" s="44"/>
      <x:c r="K115" s="44"/>
      <x:c r="L115" s="46" t="str">
        <x:f>IF(B115="","",IFERROR(INDEX('ÓRDENES-DE-COMPRA'!$H$11:$H$110,MATCH(B115,'ÓRDENES-DE-COMPRA'!$A$11:$A$110,0)),""))</x:f>
      </x:c>
      <x:c r="M115" s="59" t="str">
        <x:f>IF(OR(B115="",COUNT(F115:G115)&lt;2),"",F115*G115)</x:f>
      </x:c>
      <x:c r="N115" s="59" t="str">
        <x:f>IF(OR(B115="",COUNT(F115:H115)&lt;3),"",IF(L115="Cancelada",0,MIN(F115,H115)*G115))</x:f>
      </x:c>
      <x:c r="O115" s="59" t="str">
        <x:f>IF(OR(B115="",COUNT(F115:H115)&lt;3),"",IF(L115="Cancelada",0,MAX(F115-H115,0)))</x:f>
      </x:c>
      <x:c r="P115" s="59" t="str">
        <x:f>IF(COUNT(O115)=0,"",O115*G115)</x:f>
      </x:c>
      <x:c r="Q115" s="46" t="str">
        <x:f>IF(B115="","",IF(L115="Cancelada","Cancelada",IF(COUNT(H115)=0,"Sin recibir",IF(H115=0,"Sin recibir",IF(H115&lt;F115,"Parcial",IF(H115=F115,"Completa","Recepción excedida"))))))</x:f>
      </x:c>
    </x:row>
    <x:row r="116">
      <x:c r="A116" s="44"/>
      <x:c r="B116" s="44"/>
      <x:c r="C116" s="44"/>
      <x:c r="D116" s="44"/>
      <x:c r="E116" s="44"/>
      <x:c r="F116" s="53"/>
      <x:c r="G116" s="53"/>
      <x:c r="H116" s="53"/>
      <x:c r="I116" s="51"/>
      <x:c r="J116" s="44"/>
      <x:c r="K116" s="44"/>
      <x:c r="L116" s="46" t="str">
        <x:f>IF(B116="","",IFERROR(INDEX('ÓRDENES-DE-COMPRA'!$H$11:$H$110,MATCH(B116,'ÓRDENES-DE-COMPRA'!$A$11:$A$110,0)),""))</x:f>
      </x:c>
      <x:c r="M116" s="59" t="str">
        <x:f>IF(OR(B116="",COUNT(F116:G116)&lt;2),"",F116*G116)</x:f>
      </x:c>
      <x:c r="N116" s="59" t="str">
        <x:f>IF(OR(B116="",COUNT(F116:H116)&lt;3),"",IF(L116="Cancelada",0,MIN(F116,H116)*G116))</x:f>
      </x:c>
      <x:c r="O116" s="59" t="str">
        <x:f>IF(OR(B116="",COUNT(F116:H116)&lt;3),"",IF(L116="Cancelada",0,MAX(F116-H116,0)))</x:f>
      </x:c>
      <x:c r="P116" s="59" t="str">
        <x:f>IF(COUNT(O116)=0,"",O116*G116)</x:f>
      </x:c>
      <x:c r="Q116" s="46" t="str">
        <x:f>IF(B116="","",IF(L116="Cancelada","Cancelada",IF(COUNT(H116)=0,"Sin recibir",IF(H116=0,"Sin recibir",IF(H116&lt;F116,"Parcial",IF(H116=F116,"Completa","Recepción excedida"))))))</x:f>
      </x:c>
    </x:row>
    <x:row r="117">
      <x:c r="A117" s="44"/>
      <x:c r="B117" s="44"/>
      <x:c r="C117" s="44"/>
      <x:c r="D117" s="44"/>
      <x:c r="E117" s="44"/>
      <x:c r="F117" s="53"/>
      <x:c r="G117" s="53"/>
      <x:c r="H117" s="53"/>
      <x:c r="I117" s="51"/>
      <x:c r="J117" s="44"/>
      <x:c r="K117" s="44"/>
      <x:c r="L117" s="46" t="str">
        <x:f>IF(B117="","",IFERROR(INDEX('ÓRDENES-DE-COMPRA'!$H$11:$H$110,MATCH(B117,'ÓRDENES-DE-COMPRA'!$A$11:$A$110,0)),""))</x:f>
      </x:c>
      <x:c r="M117" s="59" t="str">
        <x:f>IF(OR(B117="",COUNT(F117:G117)&lt;2),"",F117*G117)</x:f>
      </x:c>
      <x:c r="N117" s="59" t="str">
        <x:f>IF(OR(B117="",COUNT(F117:H117)&lt;3),"",IF(L117="Cancelada",0,MIN(F117,H117)*G117))</x:f>
      </x:c>
      <x:c r="O117" s="59" t="str">
        <x:f>IF(OR(B117="",COUNT(F117:H117)&lt;3),"",IF(L117="Cancelada",0,MAX(F117-H117,0)))</x:f>
      </x:c>
      <x:c r="P117" s="59" t="str">
        <x:f>IF(COUNT(O117)=0,"",O117*G117)</x:f>
      </x:c>
      <x:c r="Q117" s="46" t="str">
        <x:f>IF(B117="","",IF(L117="Cancelada","Cancelada",IF(COUNT(H117)=0,"Sin recibir",IF(H117=0,"Sin recibir",IF(H117&lt;F117,"Parcial",IF(H117=F117,"Completa","Recepción excedida"))))))</x:f>
      </x:c>
    </x:row>
    <x:row r="118">
      <x:c r="A118" s="44"/>
      <x:c r="B118" s="44"/>
      <x:c r="C118" s="44"/>
      <x:c r="D118" s="44"/>
      <x:c r="E118" s="44"/>
      <x:c r="F118" s="53"/>
      <x:c r="G118" s="53"/>
      <x:c r="H118" s="53"/>
      <x:c r="I118" s="51"/>
      <x:c r="J118" s="44"/>
      <x:c r="K118" s="44"/>
      <x:c r="L118" s="46" t="str">
        <x:f>IF(B118="","",IFERROR(INDEX('ÓRDENES-DE-COMPRA'!$H$11:$H$110,MATCH(B118,'ÓRDENES-DE-COMPRA'!$A$11:$A$110,0)),""))</x:f>
      </x:c>
      <x:c r="M118" s="59" t="str">
        <x:f>IF(OR(B118="",COUNT(F118:G118)&lt;2),"",F118*G118)</x:f>
      </x:c>
      <x:c r="N118" s="59" t="str">
        <x:f>IF(OR(B118="",COUNT(F118:H118)&lt;3),"",IF(L118="Cancelada",0,MIN(F118,H118)*G118))</x:f>
      </x:c>
      <x:c r="O118" s="59" t="str">
        <x:f>IF(OR(B118="",COUNT(F118:H118)&lt;3),"",IF(L118="Cancelada",0,MAX(F118-H118,0)))</x:f>
      </x:c>
      <x:c r="P118" s="59" t="str">
        <x:f>IF(COUNT(O118)=0,"",O118*G118)</x:f>
      </x:c>
      <x:c r="Q118" s="46" t="str">
        <x:f>IF(B118="","",IF(L118="Cancelada","Cancelada",IF(COUNT(H118)=0,"Sin recibir",IF(H118=0,"Sin recibir",IF(H118&lt;F118,"Parcial",IF(H118=F118,"Completa","Recepción excedida"))))))</x:f>
      </x:c>
    </x:row>
    <x:row r="119">
      <x:c r="A119" s="44"/>
      <x:c r="B119" s="44"/>
      <x:c r="C119" s="44"/>
      <x:c r="D119" s="44"/>
      <x:c r="E119" s="44"/>
      <x:c r="F119" s="53"/>
      <x:c r="G119" s="53"/>
      <x:c r="H119" s="53"/>
      <x:c r="I119" s="51"/>
      <x:c r="J119" s="44"/>
      <x:c r="K119" s="44"/>
      <x:c r="L119" s="46" t="str">
        <x:f>IF(B119="","",IFERROR(INDEX('ÓRDENES-DE-COMPRA'!$H$11:$H$110,MATCH(B119,'ÓRDENES-DE-COMPRA'!$A$11:$A$110,0)),""))</x:f>
      </x:c>
      <x:c r="M119" s="59" t="str">
        <x:f>IF(OR(B119="",COUNT(F119:G119)&lt;2),"",F119*G119)</x:f>
      </x:c>
      <x:c r="N119" s="59" t="str">
        <x:f>IF(OR(B119="",COUNT(F119:H119)&lt;3),"",IF(L119="Cancelada",0,MIN(F119,H119)*G119))</x:f>
      </x:c>
      <x:c r="O119" s="59" t="str">
        <x:f>IF(OR(B119="",COUNT(F119:H119)&lt;3),"",IF(L119="Cancelada",0,MAX(F119-H119,0)))</x:f>
      </x:c>
      <x:c r="P119" s="59" t="str">
        <x:f>IF(COUNT(O119)=0,"",O119*G119)</x:f>
      </x:c>
      <x:c r="Q119" s="46" t="str">
        <x:f>IF(B119="","",IF(L119="Cancelada","Cancelada",IF(COUNT(H119)=0,"Sin recibir",IF(H119=0,"Sin recibir",IF(H119&lt;F119,"Parcial",IF(H119=F119,"Completa","Recepción excedida"))))))</x:f>
      </x:c>
    </x:row>
    <x:row r="120">
      <x:c r="A120" s="44"/>
      <x:c r="B120" s="44"/>
      <x:c r="C120" s="44"/>
      <x:c r="D120" s="44"/>
      <x:c r="E120" s="44"/>
      <x:c r="F120" s="53"/>
      <x:c r="G120" s="53"/>
      <x:c r="H120" s="53"/>
      <x:c r="I120" s="51"/>
      <x:c r="J120" s="44"/>
      <x:c r="K120" s="44"/>
      <x:c r="L120" s="46" t="str">
        <x:f>IF(B120="","",IFERROR(INDEX('ÓRDENES-DE-COMPRA'!$H$11:$H$110,MATCH(B120,'ÓRDENES-DE-COMPRA'!$A$11:$A$110,0)),""))</x:f>
      </x:c>
      <x:c r="M120" s="59" t="str">
        <x:f>IF(OR(B120="",COUNT(F120:G120)&lt;2),"",F120*G120)</x:f>
      </x:c>
      <x:c r="N120" s="59" t="str">
        <x:f>IF(OR(B120="",COUNT(F120:H120)&lt;3),"",IF(L120="Cancelada",0,MIN(F120,H120)*G120))</x:f>
      </x:c>
      <x:c r="O120" s="59" t="str">
        <x:f>IF(OR(B120="",COUNT(F120:H120)&lt;3),"",IF(L120="Cancelada",0,MAX(F120-H120,0)))</x:f>
      </x:c>
      <x:c r="P120" s="59" t="str">
        <x:f>IF(COUNT(O120)=0,"",O120*G120)</x:f>
      </x:c>
      <x:c r="Q120" s="46" t="str">
        <x:f>IF(B120="","",IF(L120="Cancelada","Cancelada",IF(COUNT(H120)=0,"Sin recibir",IF(H120=0,"Sin recibir",IF(H120&lt;F120,"Parcial",IF(H120=F120,"Completa","Recepción excedida"))))))</x:f>
      </x:c>
    </x:row>
    <x:row r="121">
      <x:c r="A121" s="44"/>
      <x:c r="B121" s="44"/>
      <x:c r="C121" s="44"/>
      <x:c r="D121" s="44"/>
      <x:c r="E121" s="44"/>
      <x:c r="F121" s="53"/>
      <x:c r="G121" s="53"/>
      <x:c r="H121" s="53"/>
      <x:c r="I121" s="51"/>
      <x:c r="J121" s="44"/>
      <x:c r="K121" s="44"/>
      <x:c r="L121" s="46" t="str">
        <x:f>IF(B121="","",IFERROR(INDEX('ÓRDENES-DE-COMPRA'!$H$11:$H$110,MATCH(B121,'ÓRDENES-DE-COMPRA'!$A$11:$A$110,0)),""))</x:f>
      </x:c>
      <x:c r="M121" s="59" t="str">
        <x:f>IF(OR(B121="",COUNT(F121:G121)&lt;2),"",F121*G121)</x:f>
      </x:c>
      <x:c r="N121" s="59" t="str">
        <x:f>IF(OR(B121="",COUNT(F121:H121)&lt;3),"",IF(L121="Cancelada",0,MIN(F121,H121)*G121))</x:f>
      </x:c>
      <x:c r="O121" s="59" t="str">
        <x:f>IF(OR(B121="",COUNT(F121:H121)&lt;3),"",IF(L121="Cancelada",0,MAX(F121-H121,0)))</x:f>
      </x:c>
      <x:c r="P121" s="59" t="str">
        <x:f>IF(COUNT(O121)=0,"",O121*G121)</x:f>
      </x:c>
      <x:c r="Q121" s="46" t="str">
        <x:f>IF(B121="","",IF(L121="Cancelada","Cancelada",IF(COUNT(H121)=0,"Sin recibir",IF(H121=0,"Sin recibir",IF(H121&lt;F121,"Parcial",IF(H121=F121,"Completa","Recepción excedida"))))))</x:f>
      </x:c>
    </x:row>
    <x:row r="122">
      <x:c r="A122" s="44"/>
      <x:c r="B122" s="44"/>
      <x:c r="C122" s="44"/>
      <x:c r="D122" s="44"/>
      <x:c r="E122" s="44"/>
      <x:c r="F122" s="53"/>
      <x:c r="G122" s="53"/>
      <x:c r="H122" s="53"/>
      <x:c r="I122" s="51"/>
      <x:c r="J122" s="44"/>
      <x:c r="K122" s="44"/>
      <x:c r="L122" s="46" t="str">
        <x:f>IF(B122="","",IFERROR(INDEX('ÓRDENES-DE-COMPRA'!$H$11:$H$110,MATCH(B122,'ÓRDENES-DE-COMPRA'!$A$11:$A$110,0)),""))</x:f>
      </x:c>
      <x:c r="M122" s="59" t="str">
        <x:f>IF(OR(B122="",COUNT(F122:G122)&lt;2),"",F122*G122)</x:f>
      </x:c>
      <x:c r="N122" s="59" t="str">
        <x:f>IF(OR(B122="",COUNT(F122:H122)&lt;3),"",IF(L122="Cancelada",0,MIN(F122,H122)*G122))</x:f>
      </x:c>
      <x:c r="O122" s="59" t="str">
        <x:f>IF(OR(B122="",COUNT(F122:H122)&lt;3),"",IF(L122="Cancelada",0,MAX(F122-H122,0)))</x:f>
      </x:c>
      <x:c r="P122" s="59" t="str">
        <x:f>IF(COUNT(O122)=0,"",O122*G122)</x:f>
      </x:c>
      <x:c r="Q122" s="46" t="str">
        <x:f>IF(B122="","",IF(L122="Cancelada","Cancelada",IF(COUNT(H122)=0,"Sin recibir",IF(H122=0,"Sin recibir",IF(H122&lt;F122,"Parcial",IF(H122=F122,"Completa","Recepción excedida"))))))</x:f>
      </x:c>
    </x:row>
    <x:row r="123">
      <x:c r="A123" s="44"/>
      <x:c r="B123" s="44"/>
      <x:c r="C123" s="44"/>
      <x:c r="D123" s="44"/>
      <x:c r="E123" s="44"/>
      <x:c r="F123" s="53"/>
      <x:c r="G123" s="53"/>
      <x:c r="H123" s="53"/>
      <x:c r="I123" s="51"/>
      <x:c r="J123" s="44"/>
      <x:c r="K123" s="44"/>
      <x:c r="L123" s="46" t="str">
        <x:f>IF(B123="","",IFERROR(INDEX('ÓRDENES-DE-COMPRA'!$H$11:$H$110,MATCH(B123,'ÓRDENES-DE-COMPRA'!$A$11:$A$110,0)),""))</x:f>
      </x:c>
      <x:c r="M123" s="59" t="str">
        <x:f>IF(OR(B123="",COUNT(F123:G123)&lt;2),"",F123*G123)</x:f>
      </x:c>
      <x:c r="N123" s="59" t="str">
        <x:f>IF(OR(B123="",COUNT(F123:H123)&lt;3),"",IF(L123="Cancelada",0,MIN(F123,H123)*G123))</x:f>
      </x:c>
      <x:c r="O123" s="59" t="str">
        <x:f>IF(OR(B123="",COUNT(F123:H123)&lt;3),"",IF(L123="Cancelada",0,MAX(F123-H123,0)))</x:f>
      </x:c>
      <x:c r="P123" s="59" t="str">
        <x:f>IF(COUNT(O123)=0,"",O123*G123)</x:f>
      </x:c>
      <x:c r="Q123" s="46" t="str">
        <x:f>IF(B123="","",IF(L123="Cancelada","Cancelada",IF(COUNT(H123)=0,"Sin recibir",IF(H123=0,"Sin recibir",IF(H123&lt;F123,"Parcial",IF(H123=F123,"Completa","Recepción excedida"))))))</x:f>
      </x:c>
    </x:row>
    <x:row r="124">
      <x:c r="A124" s="44"/>
      <x:c r="B124" s="44"/>
      <x:c r="C124" s="44"/>
      <x:c r="D124" s="44"/>
      <x:c r="E124" s="44"/>
      <x:c r="F124" s="53"/>
      <x:c r="G124" s="53"/>
      <x:c r="H124" s="53"/>
      <x:c r="I124" s="51"/>
      <x:c r="J124" s="44"/>
      <x:c r="K124" s="44"/>
      <x:c r="L124" s="46" t="str">
        <x:f>IF(B124="","",IFERROR(INDEX('ÓRDENES-DE-COMPRA'!$H$11:$H$110,MATCH(B124,'ÓRDENES-DE-COMPRA'!$A$11:$A$110,0)),""))</x:f>
      </x:c>
      <x:c r="M124" s="59" t="str">
        <x:f>IF(OR(B124="",COUNT(F124:G124)&lt;2),"",F124*G124)</x:f>
      </x:c>
      <x:c r="N124" s="59" t="str">
        <x:f>IF(OR(B124="",COUNT(F124:H124)&lt;3),"",IF(L124="Cancelada",0,MIN(F124,H124)*G124))</x:f>
      </x:c>
      <x:c r="O124" s="59" t="str">
        <x:f>IF(OR(B124="",COUNT(F124:H124)&lt;3),"",IF(L124="Cancelada",0,MAX(F124-H124,0)))</x:f>
      </x:c>
      <x:c r="P124" s="59" t="str">
        <x:f>IF(COUNT(O124)=0,"",O124*G124)</x:f>
      </x:c>
      <x:c r="Q124" s="46" t="str">
        <x:f>IF(B124="","",IF(L124="Cancelada","Cancelada",IF(COUNT(H124)=0,"Sin recibir",IF(H124=0,"Sin recibir",IF(H124&lt;F124,"Parcial",IF(H124=F124,"Completa","Recepción excedida"))))))</x:f>
      </x:c>
    </x:row>
    <x:row r="125">
      <x:c r="A125" s="44"/>
      <x:c r="B125" s="44"/>
      <x:c r="C125" s="44"/>
      <x:c r="D125" s="44"/>
      <x:c r="E125" s="44"/>
      <x:c r="F125" s="53"/>
      <x:c r="G125" s="53"/>
      <x:c r="H125" s="53"/>
      <x:c r="I125" s="51"/>
      <x:c r="J125" s="44"/>
      <x:c r="K125" s="44"/>
      <x:c r="L125" s="46" t="str">
        <x:f>IF(B125="","",IFERROR(INDEX('ÓRDENES-DE-COMPRA'!$H$11:$H$110,MATCH(B125,'ÓRDENES-DE-COMPRA'!$A$11:$A$110,0)),""))</x:f>
      </x:c>
      <x:c r="M125" s="59" t="str">
        <x:f>IF(OR(B125="",COUNT(F125:G125)&lt;2),"",F125*G125)</x:f>
      </x:c>
      <x:c r="N125" s="59" t="str">
        <x:f>IF(OR(B125="",COUNT(F125:H125)&lt;3),"",IF(L125="Cancelada",0,MIN(F125,H125)*G125))</x:f>
      </x:c>
      <x:c r="O125" s="59" t="str">
        <x:f>IF(OR(B125="",COUNT(F125:H125)&lt;3),"",IF(L125="Cancelada",0,MAX(F125-H125,0)))</x:f>
      </x:c>
      <x:c r="P125" s="59" t="str">
        <x:f>IF(COUNT(O125)=0,"",O125*G125)</x:f>
      </x:c>
      <x:c r="Q125" s="46" t="str">
        <x:f>IF(B125="","",IF(L125="Cancelada","Cancelada",IF(COUNT(H125)=0,"Sin recibir",IF(H125=0,"Sin recibir",IF(H125&lt;F125,"Parcial",IF(H125=F125,"Completa","Recepción excedida"))))))</x:f>
      </x:c>
    </x:row>
    <x:row r="126">
      <x:c r="A126" s="44"/>
      <x:c r="B126" s="44"/>
      <x:c r="C126" s="44"/>
      <x:c r="D126" s="44"/>
      <x:c r="E126" s="44"/>
      <x:c r="F126" s="53"/>
      <x:c r="G126" s="53"/>
      <x:c r="H126" s="53"/>
      <x:c r="I126" s="51"/>
      <x:c r="J126" s="44"/>
      <x:c r="K126" s="44"/>
      <x:c r="L126" s="46" t="str">
        <x:f>IF(B126="","",IFERROR(INDEX('ÓRDENES-DE-COMPRA'!$H$11:$H$110,MATCH(B126,'ÓRDENES-DE-COMPRA'!$A$11:$A$110,0)),""))</x:f>
      </x:c>
      <x:c r="M126" s="59" t="str">
        <x:f>IF(OR(B126="",COUNT(F126:G126)&lt;2),"",F126*G126)</x:f>
      </x:c>
      <x:c r="N126" s="59" t="str">
        <x:f>IF(OR(B126="",COUNT(F126:H126)&lt;3),"",IF(L126="Cancelada",0,MIN(F126,H126)*G126))</x:f>
      </x:c>
      <x:c r="O126" s="59" t="str">
        <x:f>IF(OR(B126="",COUNT(F126:H126)&lt;3),"",IF(L126="Cancelada",0,MAX(F126-H126,0)))</x:f>
      </x:c>
      <x:c r="P126" s="59" t="str">
        <x:f>IF(COUNT(O126)=0,"",O126*G126)</x:f>
      </x:c>
      <x:c r="Q126" s="46" t="str">
        <x:f>IF(B126="","",IF(L126="Cancelada","Cancelada",IF(COUNT(H126)=0,"Sin recibir",IF(H126=0,"Sin recibir",IF(H126&lt;F126,"Parcial",IF(H126=F126,"Completa","Recepción excedida"))))))</x:f>
      </x:c>
    </x:row>
    <x:row r="127">
      <x:c r="A127" s="44"/>
      <x:c r="B127" s="44"/>
      <x:c r="C127" s="44"/>
      <x:c r="D127" s="44"/>
      <x:c r="E127" s="44"/>
      <x:c r="F127" s="53"/>
      <x:c r="G127" s="53"/>
      <x:c r="H127" s="53"/>
      <x:c r="I127" s="51"/>
      <x:c r="J127" s="44"/>
      <x:c r="K127" s="44"/>
      <x:c r="L127" s="46" t="str">
        <x:f>IF(B127="","",IFERROR(INDEX('ÓRDENES-DE-COMPRA'!$H$11:$H$110,MATCH(B127,'ÓRDENES-DE-COMPRA'!$A$11:$A$110,0)),""))</x:f>
      </x:c>
      <x:c r="M127" s="59" t="str">
        <x:f>IF(OR(B127="",COUNT(F127:G127)&lt;2),"",F127*G127)</x:f>
      </x:c>
      <x:c r="N127" s="59" t="str">
        <x:f>IF(OR(B127="",COUNT(F127:H127)&lt;3),"",IF(L127="Cancelada",0,MIN(F127,H127)*G127))</x:f>
      </x:c>
      <x:c r="O127" s="59" t="str">
        <x:f>IF(OR(B127="",COUNT(F127:H127)&lt;3),"",IF(L127="Cancelada",0,MAX(F127-H127,0)))</x:f>
      </x:c>
      <x:c r="P127" s="59" t="str">
        <x:f>IF(COUNT(O127)=0,"",O127*G127)</x:f>
      </x:c>
      <x:c r="Q127" s="46" t="str">
        <x:f>IF(B127="","",IF(L127="Cancelada","Cancelada",IF(COUNT(H127)=0,"Sin recibir",IF(H127=0,"Sin recibir",IF(H127&lt;F127,"Parcial",IF(H127=F127,"Completa","Recepción excedida"))))))</x:f>
      </x:c>
    </x:row>
    <x:row r="128">
      <x:c r="A128" s="44"/>
      <x:c r="B128" s="44"/>
      <x:c r="C128" s="44"/>
      <x:c r="D128" s="44"/>
      <x:c r="E128" s="44"/>
      <x:c r="F128" s="53"/>
      <x:c r="G128" s="53"/>
      <x:c r="H128" s="53"/>
      <x:c r="I128" s="51"/>
      <x:c r="J128" s="44"/>
      <x:c r="K128" s="44"/>
      <x:c r="L128" s="46" t="str">
        <x:f>IF(B128="","",IFERROR(INDEX('ÓRDENES-DE-COMPRA'!$H$11:$H$110,MATCH(B128,'ÓRDENES-DE-COMPRA'!$A$11:$A$110,0)),""))</x:f>
      </x:c>
      <x:c r="M128" s="59" t="str">
        <x:f>IF(OR(B128="",COUNT(F128:G128)&lt;2),"",F128*G128)</x:f>
      </x:c>
      <x:c r="N128" s="59" t="str">
        <x:f>IF(OR(B128="",COUNT(F128:H128)&lt;3),"",IF(L128="Cancelada",0,MIN(F128,H128)*G128))</x:f>
      </x:c>
      <x:c r="O128" s="59" t="str">
        <x:f>IF(OR(B128="",COUNT(F128:H128)&lt;3),"",IF(L128="Cancelada",0,MAX(F128-H128,0)))</x:f>
      </x:c>
      <x:c r="P128" s="59" t="str">
        <x:f>IF(COUNT(O128)=0,"",O128*G128)</x:f>
      </x:c>
      <x:c r="Q128" s="46" t="str">
        <x:f>IF(B128="","",IF(L128="Cancelada","Cancelada",IF(COUNT(H128)=0,"Sin recibir",IF(H128=0,"Sin recibir",IF(H128&lt;F128,"Parcial",IF(H128=F128,"Completa","Recepción excedida"))))))</x:f>
      </x:c>
    </x:row>
    <x:row r="129">
      <x:c r="A129" s="44"/>
      <x:c r="B129" s="44"/>
      <x:c r="C129" s="44"/>
      <x:c r="D129" s="44"/>
      <x:c r="E129" s="44"/>
      <x:c r="F129" s="53"/>
      <x:c r="G129" s="53"/>
      <x:c r="H129" s="53"/>
      <x:c r="I129" s="51"/>
      <x:c r="J129" s="44"/>
      <x:c r="K129" s="44"/>
      <x:c r="L129" s="46" t="str">
        <x:f>IF(B129="","",IFERROR(INDEX('ÓRDENES-DE-COMPRA'!$H$11:$H$110,MATCH(B129,'ÓRDENES-DE-COMPRA'!$A$11:$A$110,0)),""))</x:f>
      </x:c>
      <x:c r="M129" s="59" t="str">
        <x:f>IF(OR(B129="",COUNT(F129:G129)&lt;2),"",F129*G129)</x:f>
      </x:c>
      <x:c r="N129" s="59" t="str">
        <x:f>IF(OR(B129="",COUNT(F129:H129)&lt;3),"",IF(L129="Cancelada",0,MIN(F129,H129)*G129))</x:f>
      </x:c>
      <x:c r="O129" s="59" t="str">
        <x:f>IF(OR(B129="",COUNT(F129:H129)&lt;3),"",IF(L129="Cancelada",0,MAX(F129-H129,0)))</x:f>
      </x:c>
      <x:c r="P129" s="59" t="str">
        <x:f>IF(COUNT(O129)=0,"",O129*G129)</x:f>
      </x:c>
      <x:c r="Q129" s="46" t="str">
        <x:f>IF(B129="","",IF(L129="Cancelada","Cancelada",IF(COUNT(H129)=0,"Sin recibir",IF(H129=0,"Sin recibir",IF(H129&lt;F129,"Parcial",IF(H129=F129,"Completa","Recepción excedida"))))))</x:f>
      </x:c>
    </x:row>
    <x:row r="130">
      <x:c r="A130" s="44"/>
      <x:c r="B130" s="44"/>
      <x:c r="C130" s="44"/>
      <x:c r="D130" s="44"/>
      <x:c r="E130" s="44"/>
      <x:c r="F130" s="53"/>
      <x:c r="G130" s="53"/>
      <x:c r="H130" s="53"/>
      <x:c r="I130" s="51"/>
      <x:c r="J130" s="44"/>
      <x:c r="K130" s="44"/>
      <x:c r="L130" s="46" t="str">
        <x:f>IF(B130="","",IFERROR(INDEX('ÓRDENES-DE-COMPRA'!$H$11:$H$110,MATCH(B130,'ÓRDENES-DE-COMPRA'!$A$11:$A$110,0)),""))</x:f>
      </x:c>
      <x:c r="M130" s="59" t="str">
        <x:f>IF(OR(B130="",COUNT(F130:G130)&lt;2),"",F130*G130)</x:f>
      </x:c>
      <x:c r="N130" s="59" t="str">
        <x:f>IF(OR(B130="",COUNT(F130:H130)&lt;3),"",IF(L130="Cancelada",0,MIN(F130,H130)*G130))</x:f>
      </x:c>
      <x:c r="O130" s="59" t="str">
        <x:f>IF(OR(B130="",COUNT(F130:H130)&lt;3),"",IF(L130="Cancelada",0,MAX(F130-H130,0)))</x:f>
      </x:c>
      <x:c r="P130" s="59" t="str">
        <x:f>IF(COUNT(O130)=0,"",O130*G130)</x:f>
      </x:c>
      <x:c r="Q130" s="46" t="str">
        <x:f>IF(B130="","",IF(L130="Cancelada","Cancelada",IF(COUNT(H130)=0,"Sin recibir",IF(H130=0,"Sin recibir",IF(H130&lt;F130,"Parcial",IF(H130=F130,"Completa","Recepción excedida"))))))</x:f>
      </x:c>
    </x:row>
    <x:row r="131">
      <x:c r="A131" s="44"/>
      <x:c r="B131" s="44"/>
      <x:c r="C131" s="44"/>
      <x:c r="D131" s="44"/>
      <x:c r="E131" s="44"/>
      <x:c r="F131" s="53"/>
      <x:c r="G131" s="53"/>
      <x:c r="H131" s="53"/>
      <x:c r="I131" s="51"/>
      <x:c r="J131" s="44"/>
      <x:c r="K131" s="44"/>
      <x:c r="L131" s="46" t="str">
        <x:f>IF(B131="","",IFERROR(INDEX('ÓRDENES-DE-COMPRA'!$H$11:$H$110,MATCH(B131,'ÓRDENES-DE-COMPRA'!$A$11:$A$110,0)),""))</x:f>
      </x:c>
      <x:c r="M131" s="59" t="str">
        <x:f>IF(OR(B131="",COUNT(F131:G131)&lt;2),"",F131*G131)</x:f>
      </x:c>
      <x:c r="N131" s="59" t="str">
        <x:f>IF(OR(B131="",COUNT(F131:H131)&lt;3),"",IF(L131="Cancelada",0,MIN(F131,H131)*G131))</x:f>
      </x:c>
      <x:c r="O131" s="59" t="str">
        <x:f>IF(OR(B131="",COUNT(F131:H131)&lt;3),"",IF(L131="Cancelada",0,MAX(F131-H131,0)))</x:f>
      </x:c>
      <x:c r="P131" s="59" t="str">
        <x:f>IF(COUNT(O131)=0,"",O131*G131)</x:f>
      </x:c>
      <x:c r="Q131" s="46" t="str">
        <x:f>IF(B131="","",IF(L131="Cancelada","Cancelada",IF(COUNT(H131)=0,"Sin recibir",IF(H131=0,"Sin recibir",IF(H131&lt;F131,"Parcial",IF(H131=F131,"Completa","Recepción excedida"))))))</x:f>
      </x:c>
    </x:row>
    <x:row r="132">
      <x:c r="A132" s="44"/>
      <x:c r="B132" s="44"/>
      <x:c r="C132" s="44"/>
      <x:c r="D132" s="44"/>
      <x:c r="E132" s="44"/>
      <x:c r="F132" s="53"/>
      <x:c r="G132" s="53"/>
      <x:c r="H132" s="53"/>
      <x:c r="I132" s="51"/>
      <x:c r="J132" s="44"/>
      <x:c r="K132" s="44"/>
      <x:c r="L132" s="46" t="str">
        <x:f>IF(B132="","",IFERROR(INDEX('ÓRDENES-DE-COMPRA'!$H$11:$H$110,MATCH(B132,'ÓRDENES-DE-COMPRA'!$A$11:$A$110,0)),""))</x:f>
      </x:c>
      <x:c r="M132" s="59" t="str">
        <x:f>IF(OR(B132="",COUNT(F132:G132)&lt;2),"",F132*G132)</x:f>
      </x:c>
      <x:c r="N132" s="59" t="str">
        <x:f>IF(OR(B132="",COUNT(F132:H132)&lt;3),"",IF(L132="Cancelada",0,MIN(F132,H132)*G132))</x:f>
      </x:c>
      <x:c r="O132" s="59" t="str">
        <x:f>IF(OR(B132="",COUNT(F132:H132)&lt;3),"",IF(L132="Cancelada",0,MAX(F132-H132,0)))</x:f>
      </x:c>
      <x:c r="P132" s="59" t="str">
        <x:f>IF(COUNT(O132)=0,"",O132*G132)</x:f>
      </x:c>
      <x:c r="Q132" s="46" t="str">
        <x:f>IF(B132="","",IF(L132="Cancelada","Cancelada",IF(COUNT(H132)=0,"Sin recibir",IF(H132=0,"Sin recibir",IF(H132&lt;F132,"Parcial",IF(H132=F132,"Completa","Recepción excedida"))))))</x:f>
      </x:c>
    </x:row>
    <x:row r="133">
      <x:c r="A133" s="44"/>
      <x:c r="B133" s="44"/>
      <x:c r="C133" s="44"/>
      <x:c r="D133" s="44"/>
      <x:c r="E133" s="44"/>
      <x:c r="F133" s="53"/>
      <x:c r="G133" s="53"/>
      <x:c r="H133" s="53"/>
      <x:c r="I133" s="51"/>
      <x:c r="J133" s="44"/>
      <x:c r="K133" s="44"/>
      <x:c r="L133" s="46" t="str">
        <x:f>IF(B133="","",IFERROR(INDEX('ÓRDENES-DE-COMPRA'!$H$11:$H$110,MATCH(B133,'ÓRDENES-DE-COMPRA'!$A$11:$A$110,0)),""))</x:f>
      </x:c>
      <x:c r="M133" s="59" t="str">
        <x:f>IF(OR(B133="",COUNT(F133:G133)&lt;2),"",F133*G133)</x:f>
      </x:c>
      <x:c r="N133" s="59" t="str">
        <x:f>IF(OR(B133="",COUNT(F133:H133)&lt;3),"",IF(L133="Cancelada",0,MIN(F133,H133)*G133))</x:f>
      </x:c>
      <x:c r="O133" s="59" t="str">
        <x:f>IF(OR(B133="",COUNT(F133:H133)&lt;3),"",IF(L133="Cancelada",0,MAX(F133-H133,0)))</x:f>
      </x:c>
      <x:c r="P133" s="59" t="str">
        <x:f>IF(COUNT(O133)=0,"",O133*G133)</x:f>
      </x:c>
      <x:c r="Q133" s="46" t="str">
        <x:f>IF(B133="","",IF(L133="Cancelada","Cancelada",IF(COUNT(H133)=0,"Sin recibir",IF(H133=0,"Sin recibir",IF(H133&lt;F133,"Parcial",IF(H133=F133,"Completa","Recepción excedida"))))))</x:f>
      </x:c>
    </x:row>
    <x:row r="134">
      <x:c r="A134" s="44"/>
      <x:c r="B134" s="44"/>
      <x:c r="C134" s="44"/>
      <x:c r="D134" s="44"/>
      <x:c r="E134" s="44"/>
      <x:c r="F134" s="53"/>
      <x:c r="G134" s="53"/>
      <x:c r="H134" s="53"/>
      <x:c r="I134" s="51"/>
      <x:c r="J134" s="44"/>
      <x:c r="K134" s="44"/>
      <x:c r="L134" s="46" t="str">
        <x:f>IF(B134="","",IFERROR(INDEX('ÓRDENES-DE-COMPRA'!$H$11:$H$110,MATCH(B134,'ÓRDENES-DE-COMPRA'!$A$11:$A$110,0)),""))</x:f>
      </x:c>
      <x:c r="M134" s="59" t="str">
        <x:f>IF(OR(B134="",COUNT(F134:G134)&lt;2),"",F134*G134)</x:f>
      </x:c>
      <x:c r="N134" s="59" t="str">
        <x:f>IF(OR(B134="",COUNT(F134:H134)&lt;3),"",IF(L134="Cancelada",0,MIN(F134,H134)*G134))</x:f>
      </x:c>
      <x:c r="O134" s="59" t="str">
        <x:f>IF(OR(B134="",COUNT(F134:H134)&lt;3),"",IF(L134="Cancelada",0,MAX(F134-H134,0)))</x:f>
      </x:c>
      <x:c r="P134" s="59" t="str">
        <x:f>IF(COUNT(O134)=0,"",O134*G134)</x:f>
      </x:c>
      <x:c r="Q134" s="46" t="str">
        <x:f>IF(B134="","",IF(L134="Cancelada","Cancelada",IF(COUNT(H134)=0,"Sin recibir",IF(H134=0,"Sin recibir",IF(H134&lt;F134,"Parcial",IF(H134=F134,"Completa","Recepción excedida"))))))</x:f>
      </x:c>
    </x:row>
    <x:row r="135">
      <x:c r="A135" s="44"/>
      <x:c r="B135" s="44"/>
      <x:c r="C135" s="44"/>
      <x:c r="D135" s="44"/>
      <x:c r="E135" s="44"/>
      <x:c r="F135" s="53"/>
      <x:c r="G135" s="53"/>
      <x:c r="H135" s="53"/>
      <x:c r="I135" s="51"/>
      <x:c r="J135" s="44"/>
      <x:c r="K135" s="44"/>
      <x:c r="L135" s="46" t="str">
        <x:f>IF(B135="","",IFERROR(INDEX('ÓRDENES-DE-COMPRA'!$H$11:$H$110,MATCH(B135,'ÓRDENES-DE-COMPRA'!$A$11:$A$110,0)),""))</x:f>
      </x:c>
      <x:c r="M135" s="59" t="str">
        <x:f>IF(OR(B135="",COUNT(F135:G135)&lt;2),"",F135*G135)</x:f>
      </x:c>
      <x:c r="N135" s="59" t="str">
        <x:f>IF(OR(B135="",COUNT(F135:H135)&lt;3),"",IF(L135="Cancelada",0,MIN(F135,H135)*G135))</x:f>
      </x:c>
      <x:c r="O135" s="59" t="str">
        <x:f>IF(OR(B135="",COUNT(F135:H135)&lt;3),"",IF(L135="Cancelada",0,MAX(F135-H135,0)))</x:f>
      </x:c>
      <x:c r="P135" s="59" t="str">
        <x:f>IF(COUNT(O135)=0,"",O135*G135)</x:f>
      </x:c>
      <x:c r="Q135" s="46" t="str">
        <x:f>IF(B135="","",IF(L135="Cancelada","Cancelada",IF(COUNT(H135)=0,"Sin recibir",IF(H135=0,"Sin recibir",IF(H135&lt;F135,"Parcial",IF(H135=F135,"Completa","Recepción excedida"))))))</x:f>
      </x:c>
    </x:row>
    <x:row r="136">
      <x:c r="A136" s="44"/>
      <x:c r="B136" s="44"/>
      <x:c r="C136" s="44"/>
      <x:c r="D136" s="44"/>
      <x:c r="E136" s="44"/>
      <x:c r="F136" s="53"/>
      <x:c r="G136" s="53"/>
      <x:c r="H136" s="53"/>
      <x:c r="I136" s="51"/>
      <x:c r="J136" s="44"/>
      <x:c r="K136" s="44"/>
      <x:c r="L136" s="46" t="str">
        <x:f>IF(B136="","",IFERROR(INDEX('ÓRDENES-DE-COMPRA'!$H$11:$H$110,MATCH(B136,'ÓRDENES-DE-COMPRA'!$A$11:$A$110,0)),""))</x:f>
      </x:c>
      <x:c r="M136" s="59" t="str">
        <x:f>IF(OR(B136="",COUNT(F136:G136)&lt;2),"",F136*G136)</x:f>
      </x:c>
      <x:c r="N136" s="59" t="str">
        <x:f>IF(OR(B136="",COUNT(F136:H136)&lt;3),"",IF(L136="Cancelada",0,MIN(F136,H136)*G136))</x:f>
      </x:c>
      <x:c r="O136" s="59" t="str">
        <x:f>IF(OR(B136="",COUNT(F136:H136)&lt;3),"",IF(L136="Cancelada",0,MAX(F136-H136,0)))</x:f>
      </x:c>
      <x:c r="P136" s="59" t="str">
        <x:f>IF(COUNT(O136)=0,"",O136*G136)</x:f>
      </x:c>
      <x:c r="Q136" s="46" t="str">
        <x:f>IF(B136="","",IF(L136="Cancelada","Cancelada",IF(COUNT(H136)=0,"Sin recibir",IF(H136=0,"Sin recibir",IF(H136&lt;F136,"Parcial",IF(H136=F136,"Completa","Recepción excedida"))))))</x:f>
      </x:c>
    </x:row>
    <x:row r="137">
      <x:c r="A137" s="44"/>
      <x:c r="B137" s="44"/>
      <x:c r="C137" s="44"/>
      <x:c r="D137" s="44"/>
      <x:c r="E137" s="44"/>
      <x:c r="F137" s="53"/>
      <x:c r="G137" s="53"/>
      <x:c r="H137" s="53"/>
      <x:c r="I137" s="51"/>
      <x:c r="J137" s="44"/>
      <x:c r="K137" s="44"/>
      <x:c r="L137" s="46" t="str">
        <x:f>IF(B137="","",IFERROR(INDEX('ÓRDENES-DE-COMPRA'!$H$11:$H$110,MATCH(B137,'ÓRDENES-DE-COMPRA'!$A$11:$A$110,0)),""))</x:f>
      </x:c>
      <x:c r="M137" s="59" t="str">
        <x:f>IF(OR(B137="",COUNT(F137:G137)&lt;2),"",F137*G137)</x:f>
      </x:c>
      <x:c r="N137" s="59" t="str">
        <x:f>IF(OR(B137="",COUNT(F137:H137)&lt;3),"",IF(L137="Cancelada",0,MIN(F137,H137)*G137))</x:f>
      </x:c>
      <x:c r="O137" s="59" t="str">
        <x:f>IF(OR(B137="",COUNT(F137:H137)&lt;3),"",IF(L137="Cancelada",0,MAX(F137-H137,0)))</x:f>
      </x:c>
      <x:c r="P137" s="59" t="str">
        <x:f>IF(COUNT(O137)=0,"",O137*G137)</x:f>
      </x:c>
      <x:c r="Q137" s="46" t="str">
        <x:f>IF(B137="","",IF(L137="Cancelada","Cancelada",IF(COUNT(H137)=0,"Sin recibir",IF(H137=0,"Sin recibir",IF(H137&lt;F137,"Parcial",IF(H137=F137,"Completa","Recepción excedida"))))))</x:f>
      </x:c>
    </x:row>
    <x:row r="138">
      <x:c r="A138" s="44"/>
      <x:c r="B138" s="44"/>
      <x:c r="C138" s="44"/>
      <x:c r="D138" s="44"/>
      <x:c r="E138" s="44"/>
      <x:c r="F138" s="53"/>
      <x:c r="G138" s="53"/>
      <x:c r="H138" s="53"/>
      <x:c r="I138" s="51"/>
      <x:c r="J138" s="44"/>
      <x:c r="K138" s="44"/>
      <x:c r="L138" s="46" t="str">
        <x:f>IF(B138="","",IFERROR(INDEX('ÓRDENES-DE-COMPRA'!$H$11:$H$110,MATCH(B138,'ÓRDENES-DE-COMPRA'!$A$11:$A$110,0)),""))</x:f>
      </x:c>
      <x:c r="M138" s="59" t="str">
        <x:f>IF(OR(B138="",COUNT(F138:G138)&lt;2),"",F138*G138)</x:f>
      </x:c>
      <x:c r="N138" s="59" t="str">
        <x:f>IF(OR(B138="",COUNT(F138:H138)&lt;3),"",IF(L138="Cancelada",0,MIN(F138,H138)*G138))</x:f>
      </x:c>
      <x:c r="O138" s="59" t="str">
        <x:f>IF(OR(B138="",COUNT(F138:H138)&lt;3),"",IF(L138="Cancelada",0,MAX(F138-H138,0)))</x:f>
      </x:c>
      <x:c r="P138" s="59" t="str">
        <x:f>IF(COUNT(O138)=0,"",O138*G138)</x:f>
      </x:c>
      <x:c r="Q138" s="46" t="str">
        <x:f>IF(B138="","",IF(L138="Cancelada","Cancelada",IF(COUNT(H138)=0,"Sin recibir",IF(H138=0,"Sin recibir",IF(H138&lt;F138,"Parcial",IF(H138=F138,"Completa","Recepción excedida"))))))</x:f>
      </x:c>
    </x:row>
    <x:row r="139">
      <x:c r="A139" s="44"/>
      <x:c r="B139" s="44"/>
      <x:c r="C139" s="44"/>
      <x:c r="D139" s="44"/>
      <x:c r="E139" s="44"/>
      <x:c r="F139" s="53"/>
      <x:c r="G139" s="53"/>
      <x:c r="H139" s="53"/>
      <x:c r="I139" s="51"/>
      <x:c r="J139" s="44"/>
      <x:c r="K139" s="44"/>
      <x:c r="L139" s="46" t="str">
        <x:f>IF(B139="","",IFERROR(INDEX('ÓRDENES-DE-COMPRA'!$H$11:$H$110,MATCH(B139,'ÓRDENES-DE-COMPRA'!$A$11:$A$110,0)),""))</x:f>
      </x:c>
      <x:c r="M139" s="59" t="str">
        <x:f>IF(OR(B139="",COUNT(F139:G139)&lt;2),"",F139*G139)</x:f>
      </x:c>
      <x:c r="N139" s="59" t="str">
        <x:f>IF(OR(B139="",COUNT(F139:H139)&lt;3),"",IF(L139="Cancelada",0,MIN(F139,H139)*G139))</x:f>
      </x:c>
      <x:c r="O139" s="59" t="str">
        <x:f>IF(OR(B139="",COUNT(F139:H139)&lt;3),"",IF(L139="Cancelada",0,MAX(F139-H139,0)))</x:f>
      </x:c>
      <x:c r="P139" s="59" t="str">
        <x:f>IF(COUNT(O139)=0,"",O139*G139)</x:f>
      </x:c>
      <x:c r="Q139" s="46" t="str">
        <x:f>IF(B139="","",IF(L139="Cancelada","Cancelada",IF(COUNT(H139)=0,"Sin recibir",IF(H139=0,"Sin recibir",IF(H139&lt;F139,"Parcial",IF(H139=F139,"Completa","Recepción excedida"))))))</x:f>
      </x:c>
    </x:row>
    <x:row r="140">
      <x:c r="A140" s="44"/>
      <x:c r="B140" s="44"/>
      <x:c r="C140" s="44"/>
      <x:c r="D140" s="44"/>
      <x:c r="E140" s="44"/>
      <x:c r="F140" s="53"/>
      <x:c r="G140" s="53"/>
      <x:c r="H140" s="53"/>
      <x:c r="I140" s="51"/>
      <x:c r="J140" s="44"/>
      <x:c r="K140" s="44"/>
      <x:c r="L140" s="46" t="str">
        <x:f>IF(B140="","",IFERROR(INDEX('ÓRDENES-DE-COMPRA'!$H$11:$H$110,MATCH(B140,'ÓRDENES-DE-COMPRA'!$A$11:$A$110,0)),""))</x:f>
      </x:c>
      <x:c r="M140" s="59" t="str">
        <x:f>IF(OR(B140="",COUNT(F140:G140)&lt;2),"",F140*G140)</x:f>
      </x:c>
      <x:c r="N140" s="59" t="str">
        <x:f>IF(OR(B140="",COUNT(F140:H140)&lt;3),"",IF(L140="Cancelada",0,MIN(F140,H140)*G140))</x:f>
      </x:c>
      <x:c r="O140" s="59" t="str">
        <x:f>IF(OR(B140="",COUNT(F140:H140)&lt;3),"",IF(L140="Cancelada",0,MAX(F140-H140,0)))</x:f>
      </x:c>
      <x:c r="P140" s="59" t="str">
        <x:f>IF(COUNT(O140)=0,"",O140*G140)</x:f>
      </x:c>
      <x:c r="Q140" s="46" t="str">
        <x:f>IF(B140="","",IF(L140="Cancelada","Cancelada",IF(COUNT(H140)=0,"Sin recibir",IF(H140=0,"Sin recibir",IF(H140&lt;F140,"Parcial",IF(H140=F140,"Completa","Recepción excedida"))))))</x:f>
      </x:c>
    </x:row>
    <x:row r="141">
      <x:c r="A141" s="44"/>
      <x:c r="B141" s="44"/>
      <x:c r="C141" s="44"/>
      <x:c r="D141" s="44"/>
      <x:c r="E141" s="44"/>
      <x:c r="F141" s="53"/>
      <x:c r="G141" s="53"/>
      <x:c r="H141" s="53"/>
      <x:c r="I141" s="51"/>
      <x:c r="J141" s="44"/>
      <x:c r="K141" s="44"/>
      <x:c r="L141" s="46" t="str">
        <x:f>IF(B141="","",IFERROR(INDEX('ÓRDENES-DE-COMPRA'!$H$11:$H$110,MATCH(B141,'ÓRDENES-DE-COMPRA'!$A$11:$A$110,0)),""))</x:f>
      </x:c>
      <x:c r="M141" s="59" t="str">
        <x:f>IF(OR(B141="",COUNT(F141:G141)&lt;2),"",F141*G141)</x:f>
      </x:c>
      <x:c r="N141" s="59" t="str">
        <x:f>IF(OR(B141="",COUNT(F141:H141)&lt;3),"",IF(L141="Cancelada",0,MIN(F141,H141)*G141))</x:f>
      </x:c>
      <x:c r="O141" s="59" t="str">
        <x:f>IF(OR(B141="",COUNT(F141:H141)&lt;3),"",IF(L141="Cancelada",0,MAX(F141-H141,0)))</x:f>
      </x:c>
      <x:c r="P141" s="59" t="str">
        <x:f>IF(COUNT(O141)=0,"",O141*G141)</x:f>
      </x:c>
      <x:c r="Q141" s="46" t="str">
        <x:f>IF(B141="","",IF(L141="Cancelada","Cancelada",IF(COUNT(H141)=0,"Sin recibir",IF(H141=0,"Sin recibir",IF(H141&lt;F141,"Parcial",IF(H141=F141,"Completa","Recepción excedida"))))))</x:f>
      </x:c>
    </x:row>
    <x:row r="142">
      <x:c r="A142" s="44"/>
      <x:c r="B142" s="44"/>
      <x:c r="C142" s="44"/>
      <x:c r="D142" s="44"/>
      <x:c r="E142" s="44"/>
      <x:c r="F142" s="53"/>
      <x:c r="G142" s="53"/>
      <x:c r="H142" s="53"/>
      <x:c r="I142" s="51"/>
      <x:c r="J142" s="44"/>
      <x:c r="K142" s="44"/>
      <x:c r="L142" s="46" t="str">
        <x:f>IF(B142="","",IFERROR(INDEX('ÓRDENES-DE-COMPRA'!$H$11:$H$110,MATCH(B142,'ÓRDENES-DE-COMPRA'!$A$11:$A$110,0)),""))</x:f>
      </x:c>
      <x:c r="M142" s="59" t="str">
        <x:f>IF(OR(B142="",COUNT(F142:G142)&lt;2),"",F142*G142)</x:f>
      </x:c>
      <x:c r="N142" s="59" t="str">
        <x:f>IF(OR(B142="",COUNT(F142:H142)&lt;3),"",IF(L142="Cancelada",0,MIN(F142,H142)*G142))</x:f>
      </x:c>
      <x:c r="O142" s="59" t="str">
        <x:f>IF(OR(B142="",COUNT(F142:H142)&lt;3),"",IF(L142="Cancelada",0,MAX(F142-H142,0)))</x:f>
      </x:c>
      <x:c r="P142" s="59" t="str">
        <x:f>IF(COUNT(O142)=0,"",O142*G142)</x:f>
      </x:c>
      <x:c r="Q142" s="46" t="str">
        <x:f>IF(B142="","",IF(L142="Cancelada","Cancelada",IF(COUNT(H142)=0,"Sin recibir",IF(H142=0,"Sin recibir",IF(H142&lt;F142,"Parcial",IF(H142=F142,"Completa","Recepción excedida"))))))</x:f>
      </x:c>
    </x:row>
    <x:row r="143">
      <x:c r="A143" s="44"/>
      <x:c r="B143" s="44"/>
      <x:c r="C143" s="44"/>
      <x:c r="D143" s="44"/>
      <x:c r="E143" s="44"/>
      <x:c r="F143" s="53"/>
      <x:c r="G143" s="53"/>
      <x:c r="H143" s="53"/>
      <x:c r="I143" s="51"/>
      <x:c r="J143" s="44"/>
      <x:c r="K143" s="44"/>
      <x:c r="L143" s="46" t="str">
        <x:f>IF(B143="","",IFERROR(INDEX('ÓRDENES-DE-COMPRA'!$H$11:$H$110,MATCH(B143,'ÓRDENES-DE-COMPRA'!$A$11:$A$110,0)),""))</x:f>
      </x:c>
      <x:c r="M143" s="59" t="str">
        <x:f>IF(OR(B143="",COUNT(F143:G143)&lt;2),"",F143*G143)</x:f>
      </x:c>
      <x:c r="N143" s="59" t="str">
        <x:f>IF(OR(B143="",COUNT(F143:H143)&lt;3),"",IF(L143="Cancelada",0,MIN(F143,H143)*G143))</x:f>
      </x:c>
      <x:c r="O143" s="59" t="str">
        <x:f>IF(OR(B143="",COUNT(F143:H143)&lt;3),"",IF(L143="Cancelada",0,MAX(F143-H143,0)))</x:f>
      </x:c>
      <x:c r="P143" s="59" t="str">
        <x:f>IF(COUNT(O143)=0,"",O143*G143)</x:f>
      </x:c>
      <x:c r="Q143" s="46" t="str">
        <x:f>IF(B143="","",IF(L143="Cancelada","Cancelada",IF(COUNT(H143)=0,"Sin recibir",IF(H143=0,"Sin recibir",IF(H143&lt;F143,"Parcial",IF(H143=F143,"Completa","Recepción excedida"))))))</x:f>
      </x:c>
    </x:row>
    <x:row r="144">
      <x:c r="A144" s="44"/>
      <x:c r="B144" s="44"/>
      <x:c r="C144" s="44"/>
      <x:c r="D144" s="44"/>
      <x:c r="E144" s="44"/>
      <x:c r="F144" s="53"/>
      <x:c r="G144" s="53"/>
      <x:c r="H144" s="53"/>
      <x:c r="I144" s="51"/>
      <x:c r="J144" s="44"/>
      <x:c r="K144" s="44"/>
      <x:c r="L144" s="46" t="str">
        <x:f>IF(B144="","",IFERROR(INDEX('ÓRDENES-DE-COMPRA'!$H$11:$H$110,MATCH(B144,'ÓRDENES-DE-COMPRA'!$A$11:$A$110,0)),""))</x:f>
      </x:c>
      <x:c r="M144" s="59" t="str">
        <x:f>IF(OR(B144="",COUNT(F144:G144)&lt;2),"",F144*G144)</x:f>
      </x:c>
      <x:c r="N144" s="59" t="str">
        <x:f>IF(OR(B144="",COUNT(F144:H144)&lt;3),"",IF(L144="Cancelada",0,MIN(F144,H144)*G144))</x:f>
      </x:c>
      <x:c r="O144" s="59" t="str">
        <x:f>IF(OR(B144="",COUNT(F144:H144)&lt;3),"",IF(L144="Cancelada",0,MAX(F144-H144,0)))</x:f>
      </x:c>
      <x:c r="P144" s="59" t="str">
        <x:f>IF(COUNT(O144)=0,"",O144*G144)</x:f>
      </x:c>
      <x:c r="Q144" s="46" t="str">
        <x:f>IF(B144="","",IF(L144="Cancelada","Cancelada",IF(COUNT(H144)=0,"Sin recibir",IF(H144=0,"Sin recibir",IF(H144&lt;F144,"Parcial",IF(H144=F144,"Completa","Recepción excedida"))))))</x:f>
      </x:c>
    </x:row>
    <x:row r="145">
      <x:c r="A145" s="44"/>
      <x:c r="B145" s="44"/>
      <x:c r="C145" s="44"/>
      <x:c r="D145" s="44"/>
      <x:c r="E145" s="44"/>
      <x:c r="F145" s="53"/>
      <x:c r="G145" s="53"/>
      <x:c r="H145" s="53"/>
      <x:c r="I145" s="51"/>
      <x:c r="J145" s="44"/>
      <x:c r="K145" s="44"/>
      <x:c r="L145" s="46" t="str">
        <x:f>IF(B145="","",IFERROR(INDEX('ÓRDENES-DE-COMPRA'!$H$11:$H$110,MATCH(B145,'ÓRDENES-DE-COMPRA'!$A$11:$A$110,0)),""))</x:f>
      </x:c>
      <x:c r="M145" s="59" t="str">
        <x:f>IF(OR(B145="",COUNT(F145:G145)&lt;2),"",F145*G145)</x:f>
      </x:c>
      <x:c r="N145" s="59" t="str">
        <x:f>IF(OR(B145="",COUNT(F145:H145)&lt;3),"",IF(L145="Cancelada",0,MIN(F145,H145)*G145))</x:f>
      </x:c>
      <x:c r="O145" s="59" t="str">
        <x:f>IF(OR(B145="",COUNT(F145:H145)&lt;3),"",IF(L145="Cancelada",0,MAX(F145-H145,0)))</x:f>
      </x:c>
      <x:c r="P145" s="59" t="str">
        <x:f>IF(COUNT(O145)=0,"",O145*G145)</x:f>
      </x:c>
      <x:c r="Q145" s="46" t="str">
        <x:f>IF(B145="","",IF(L145="Cancelada","Cancelada",IF(COUNT(H145)=0,"Sin recibir",IF(H145=0,"Sin recibir",IF(H145&lt;F145,"Parcial",IF(H145=F145,"Completa","Recepción excedida"))))))</x:f>
      </x:c>
    </x:row>
    <x:row r="146">
      <x:c r="A146" s="44"/>
      <x:c r="B146" s="44"/>
      <x:c r="C146" s="44"/>
      <x:c r="D146" s="44"/>
      <x:c r="E146" s="44"/>
      <x:c r="F146" s="53"/>
      <x:c r="G146" s="53"/>
      <x:c r="H146" s="53"/>
      <x:c r="I146" s="51"/>
      <x:c r="J146" s="44"/>
      <x:c r="K146" s="44"/>
      <x:c r="L146" s="46" t="str">
        <x:f>IF(B146="","",IFERROR(INDEX('ÓRDENES-DE-COMPRA'!$H$11:$H$110,MATCH(B146,'ÓRDENES-DE-COMPRA'!$A$11:$A$110,0)),""))</x:f>
      </x:c>
      <x:c r="M146" s="59" t="str">
        <x:f>IF(OR(B146="",COUNT(F146:G146)&lt;2),"",F146*G146)</x:f>
      </x:c>
      <x:c r="N146" s="59" t="str">
        <x:f>IF(OR(B146="",COUNT(F146:H146)&lt;3),"",IF(L146="Cancelada",0,MIN(F146,H146)*G146))</x:f>
      </x:c>
      <x:c r="O146" s="59" t="str">
        <x:f>IF(OR(B146="",COUNT(F146:H146)&lt;3),"",IF(L146="Cancelada",0,MAX(F146-H146,0)))</x:f>
      </x:c>
      <x:c r="P146" s="59" t="str">
        <x:f>IF(COUNT(O146)=0,"",O146*G146)</x:f>
      </x:c>
      <x:c r="Q146" s="46" t="str">
        <x:f>IF(B146="","",IF(L146="Cancelada","Cancelada",IF(COUNT(H146)=0,"Sin recibir",IF(H146=0,"Sin recibir",IF(H146&lt;F146,"Parcial",IF(H146=F146,"Completa","Recepción excedida"))))))</x:f>
      </x:c>
    </x:row>
    <x:row r="147">
      <x:c r="A147" s="44"/>
      <x:c r="B147" s="44"/>
      <x:c r="C147" s="44"/>
      <x:c r="D147" s="44"/>
      <x:c r="E147" s="44"/>
      <x:c r="F147" s="53"/>
      <x:c r="G147" s="53"/>
      <x:c r="H147" s="53"/>
      <x:c r="I147" s="51"/>
      <x:c r="J147" s="44"/>
      <x:c r="K147" s="44"/>
      <x:c r="L147" s="46" t="str">
        <x:f>IF(B147="","",IFERROR(INDEX('ÓRDENES-DE-COMPRA'!$H$11:$H$110,MATCH(B147,'ÓRDENES-DE-COMPRA'!$A$11:$A$110,0)),""))</x:f>
      </x:c>
      <x:c r="M147" s="59" t="str">
        <x:f>IF(OR(B147="",COUNT(F147:G147)&lt;2),"",F147*G147)</x:f>
      </x:c>
      <x:c r="N147" s="59" t="str">
        <x:f>IF(OR(B147="",COUNT(F147:H147)&lt;3),"",IF(L147="Cancelada",0,MIN(F147,H147)*G147))</x:f>
      </x:c>
      <x:c r="O147" s="59" t="str">
        <x:f>IF(OR(B147="",COUNT(F147:H147)&lt;3),"",IF(L147="Cancelada",0,MAX(F147-H147,0)))</x:f>
      </x:c>
      <x:c r="P147" s="59" t="str">
        <x:f>IF(COUNT(O147)=0,"",O147*G147)</x:f>
      </x:c>
      <x:c r="Q147" s="46" t="str">
        <x:f>IF(B147="","",IF(L147="Cancelada","Cancelada",IF(COUNT(H147)=0,"Sin recibir",IF(H147=0,"Sin recibir",IF(H147&lt;F147,"Parcial",IF(H147=F147,"Completa","Recepción excedida"))))))</x:f>
      </x:c>
    </x:row>
    <x:row r="148">
      <x:c r="A148" s="44"/>
      <x:c r="B148" s="44"/>
      <x:c r="C148" s="44"/>
      <x:c r="D148" s="44"/>
      <x:c r="E148" s="44"/>
      <x:c r="F148" s="53"/>
      <x:c r="G148" s="53"/>
      <x:c r="H148" s="53"/>
      <x:c r="I148" s="51"/>
      <x:c r="J148" s="44"/>
      <x:c r="K148" s="44"/>
      <x:c r="L148" s="46" t="str">
        <x:f>IF(B148="","",IFERROR(INDEX('ÓRDENES-DE-COMPRA'!$H$11:$H$110,MATCH(B148,'ÓRDENES-DE-COMPRA'!$A$11:$A$110,0)),""))</x:f>
      </x:c>
      <x:c r="M148" s="59" t="str">
        <x:f>IF(OR(B148="",COUNT(F148:G148)&lt;2),"",F148*G148)</x:f>
      </x:c>
      <x:c r="N148" s="59" t="str">
        <x:f>IF(OR(B148="",COUNT(F148:H148)&lt;3),"",IF(L148="Cancelada",0,MIN(F148,H148)*G148))</x:f>
      </x:c>
      <x:c r="O148" s="59" t="str">
        <x:f>IF(OR(B148="",COUNT(F148:H148)&lt;3),"",IF(L148="Cancelada",0,MAX(F148-H148,0)))</x:f>
      </x:c>
      <x:c r="P148" s="59" t="str">
        <x:f>IF(COUNT(O148)=0,"",O148*G148)</x:f>
      </x:c>
      <x:c r="Q148" s="46" t="str">
        <x:f>IF(B148="","",IF(L148="Cancelada","Cancelada",IF(COUNT(H148)=0,"Sin recibir",IF(H148=0,"Sin recibir",IF(H148&lt;F148,"Parcial",IF(H148=F148,"Completa","Recepción excedida"))))))</x:f>
      </x:c>
    </x:row>
    <x:row r="149">
      <x:c r="A149" s="44"/>
      <x:c r="B149" s="44"/>
      <x:c r="C149" s="44"/>
      <x:c r="D149" s="44"/>
      <x:c r="E149" s="44"/>
      <x:c r="F149" s="53"/>
      <x:c r="G149" s="53"/>
      <x:c r="H149" s="53"/>
      <x:c r="I149" s="51"/>
      <x:c r="J149" s="44"/>
      <x:c r="K149" s="44"/>
      <x:c r="L149" s="46" t="str">
        <x:f>IF(B149="","",IFERROR(INDEX('ÓRDENES-DE-COMPRA'!$H$11:$H$110,MATCH(B149,'ÓRDENES-DE-COMPRA'!$A$11:$A$110,0)),""))</x:f>
      </x:c>
      <x:c r="M149" s="59" t="str">
        <x:f>IF(OR(B149="",COUNT(F149:G149)&lt;2),"",F149*G149)</x:f>
      </x:c>
      <x:c r="N149" s="59" t="str">
        <x:f>IF(OR(B149="",COUNT(F149:H149)&lt;3),"",IF(L149="Cancelada",0,MIN(F149,H149)*G149))</x:f>
      </x:c>
      <x:c r="O149" s="59" t="str">
        <x:f>IF(OR(B149="",COUNT(F149:H149)&lt;3),"",IF(L149="Cancelada",0,MAX(F149-H149,0)))</x:f>
      </x:c>
      <x:c r="P149" s="59" t="str">
        <x:f>IF(COUNT(O149)=0,"",O149*G149)</x:f>
      </x:c>
      <x:c r="Q149" s="46" t="str">
        <x:f>IF(B149="","",IF(L149="Cancelada","Cancelada",IF(COUNT(H149)=0,"Sin recibir",IF(H149=0,"Sin recibir",IF(H149&lt;F149,"Parcial",IF(H149=F149,"Completa","Recepción excedida"))))))</x:f>
      </x:c>
    </x:row>
    <x:row r="150">
      <x:c r="A150" s="44"/>
      <x:c r="B150" s="44"/>
      <x:c r="C150" s="44"/>
      <x:c r="D150" s="44"/>
      <x:c r="E150" s="44"/>
      <x:c r="F150" s="53"/>
      <x:c r="G150" s="53"/>
      <x:c r="H150" s="53"/>
      <x:c r="I150" s="51"/>
      <x:c r="J150" s="44"/>
      <x:c r="K150" s="44"/>
      <x:c r="L150" s="46" t="str">
        <x:f>IF(B150="","",IFERROR(INDEX('ÓRDENES-DE-COMPRA'!$H$11:$H$110,MATCH(B150,'ÓRDENES-DE-COMPRA'!$A$11:$A$110,0)),""))</x:f>
      </x:c>
      <x:c r="M150" s="59" t="str">
        <x:f>IF(OR(B150="",COUNT(F150:G150)&lt;2),"",F150*G150)</x:f>
      </x:c>
      <x:c r="N150" s="59" t="str">
        <x:f>IF(OR(B150="",COUNT(F150:H150)&lt;3),"",IF(L150="Cancelada",0,MIN(F150,H150)*G150))</x:f>
      </x:c>
      <x:c r="O150" s="59" t="str">
        <x:f>IF(OR(B150="",COUNT(F150:H150)&lt;3),"",IF(L150="Cancelada",0,MAX(F150-H150,0)))</x:f>
      </x:c>
      <x:c r="P150" s="59" t="str">
        <x:f>IF(COUNT(O150)=0,"",O150*G150)</x:f>
      </x:c>
      <x:c r="Q150" s="46" t="str">
        <x:f>IF(B150="","",IF(L150="Cancelada","Cancelada",IF(COUNT(H150)=0,"Sin recibir",IF(H150=0,"Sin recibir",IF(H150&lt;F150,"Parcial",IF(H150=F150,"Completa","Recepción excedida"))))))</x:f>
      </x:c>
    </x:row>
    <x:row r="151">
      <x:c r="A151" s="44"/>
      <x:c r="B151" s="44"/>
      <x:c r="C151" s="44"/>
      <x:c r="D151" s="44"/>
      <x:c r="E151" s="44"/>
      <x:c r="F151" s="53"/>
      <x:c r="G151" s="53"/>
      <x:c r="H151" s="53"/>
      <x:c r="I151" s="51"/>
      <x:c r="J151" s="44"/>
      <x:c r="K151" s="44"/>
      <x:c r="L151" s="46" t="str">
        <x:f>IF(B151="","",IFERROR(INDEX('ÓRDENES-DE-COMPRA'!$H$11:$H$110,MATCH(B151,'ÓRDENES-DE-COMPRA'!$A$11:$A$110,0)),""))</x:f>
      </x:c>
      <x:c r="M151" s="59" t="str">
        <x:f>IF(OR(B151="",COUNT(F151:G151)&lt;2),"",F151*G151)</x:f>
      </x:c>
      <x:c r="N151" s="59" t="str">
        <x:f>IF(OR(B151="",COUNT(F151:H151)&lt;3),"",IF(L151="Cancelada",0,MIN(F151,H151)*G151))</x:f>
      </x:c>
      <x:c r="O151" s="59" t="str">
        <x:f>IF(OR(B151="",COUNT(F151:H151)&lt;3),"",IF(L151="Cancelada",0,MAX(F151-H151,0)))</x:f>
      </x:c>
      <x:c r="P151" s="59" t="str">
        <x:f>IF(COUNT(O151)=0,"",O151*G151)</x:f>
      </x:c>
      <x:c r="Q151" s="46" t="str">
        <x:f>IF(B151="","",IF(L151="Cancelada","Cancelada",IF(COUNT(H151)=0,"Sin recibir",IF(H151=0,"Sin recibir",IF(H151&lt;F151,"Parcial",IF(H151=F151,"Completa","Recepción excedida"))))))</x:f>
      </x:c>
    </x:row>
    <x:row r="152">
      <x:c r="A152" s="44"/>
      <x:c r="B152" s="44"/>
      <x:c r="C152" s="44"/>
      <x:c r="D152" s="44"/>
      <x:c r="E152" s="44"/>
      <x:c r="F152" s="53"/>
      <x:c r="G152" s="53"/>
      <x:c r="H152" s="53"/>
      <x:c r="I152" s="51"/>
      <x:c r="J152" s="44"/>
      <x:c r="K152" s="44"/>
      <x:c r="L152" s="46" t="str">
        <x:f>IF(B152="","",IFERROR(INDEX('ÓRDENES-DE-COMPRA'!$H$11:$H$110,MATCH(B152,'ÓRDENES-DE-COMPRA'!$A$11:$A$110,0)),""))</x:f>
      </x:c>
      <x:c r="M152" s="59" t="str">
        <x:f>IF(OR(B152="",COUNT(F152:G152)&lt;2),"",F152*G152)</x:f>
      </x:c>
      <x:c r="N152" s="59" t="str">
        <x:f>IF(OR(B152="",COUNT(F152:H152)&lt;3),"",IF(L152="Cancelada",0,MIN(F152,H152)*G152))</x:f>
      </x:c>
      <x:c r="O152" s="59" t="str">
        <x:f>IF(OR(B152="",COUNT(F152:H152)&lt;3),"",IF(L152="Cancelada",0,MAX(F152-H152,0)))</x:f>
      </x:c>
      <x:c r="P152" s="59" t="str">
        <x:f>IF(COUNT(O152)=0,"",O152*G152)</x:f>
      </x:c>
      <x:c r="Q152" s="46" t="str">
        <x:f>IF(B152="","",IF(L152="Cancelada","Cancelada",IF(COUNT(H152)=0,"Sin recibir",IF(H152=0,"Sin recibir",IF(H152&lt;F152,"Parcial",IF(H152=F152,"Completa","Recepción excedida"))))))</x:f>
      </x:c>
    </x:row>
    <x:row r="153">
      <x:c r="A153" s="44"/>
      <x:c r="B153" s="44"/>
      <x:c r="C153" s="44"/>
      <x:c r="D153" s="44"/>
      <x:c r="E153" s="44"/>
      <x:c r="F153" s="53"/>
      <x:c r="G153" s="53"/>
      <x:c r="H153" s="53"/>
      <x:c r="I153" s="51"/>
      <x:c r="J153" s="44"/>
      <x:c r="K153" s="44"/>
      <x:c r="L153" s="46" t="str">
        <x:f>IF(B153="","",IFERROR(INDEX('ÓRDENES-DE-COMPRA'!$H$11:$H$110,MATCH(B153,'ÓRDENES-DE-COMPRA'!$A$11:$A$110,0)),""))</x:f>
      </x:c>
      <x:c r="M153" s="59" t="str">
        <x:f>IF(OR(B153="",COUNT(F153:G153)&lt;2),"",F153*G153)</x:f>
      </x:c>
      <x:c r="N153" s="59" t="str">
        <x:f>IF(OR(B153="",COUNT(F153:H153)&lt;3),"",IF(L153="Cancelada",0,MIN(F153,H153)*G153))</x:f>
      </x:c>
      <x:c r="O153" s="59" t="str">
        <x:f>IF(OR(B153="",COUNT(F153:H153)&lt;3),"",IF(L153="Cancelada",0,MAX(F153-H153,0)))</x:f>
      </x:c>
      <x:c r="P153" s="59" t="str">
        <x:f>IF(COUNT(O153)=0,"",O153*G153)</x:f>
      </x:c>
      <x:c r="Q153" s="46" t="str">
        <x:f>IF(B153="","",IF(L153="Cancelada","Cancelada",IF(COUNT(H153)=0,"Sin recibir",IF(H153=0,"Sin recibir",IF(H153&lt;F153,"Parcial",IF(H153=F153,"Completa","Recepción excedida"))))))</x:f>
      </x:c>
    </x:row>
    <x:row r="154">
      <x:c r="A154" s="44"/>
      <x:c r="B154" s="44"/>
      <x:c r="C154" s="44"/>
      <x:c r="D154" s="44"/>
      <x:c r="E154" s="44"/>
      <x:c r="F154" s="53"/>
      <x:c r="G154" s="53"/>
      <x:c r="H154" s="53"/>
      <x:c r="I154" s="51"/>
      <x:c r="J154" s="44"/>
      <x:c r="K154" s="44"/>
      <x:c r="L154" s="46" t="str">
        <x:f>IF(B154="","",IFERROR(INDEX('ÓRDENES-DE-COMPRA'!$H$11:$H$110,MATCH(B154,'ÓRDENES-DE-COMPRA'!$A$11:$A$110,0)),""))</x:f>
      </x:c>
      <x:c r="M154" s="59" t="str">
        <x:f>IF(OR(B154="",COUNT(F154:G154)&lt;2),"",F154*G154)</x:f>
      </x:c>
      <x:c r="N154" s="59" t="str">
        <x:f>IF(OR(B154="",COUNT(F154:H154)&lt;3),"",IF(L154="Cancelada",0,MIN(F154,H154)*G154))</x:f>
      </x:c>
      <x:c r="O154" s="59" t="str">
        <x:f>IF(OR(B154="",COUNT(F154:H154)&lt;3),"",IF(L154="Cancelada",0,MAX(F154-H154,0)))</x:f>
      </x:c>
      <x:c r="P154" s="59" t="str">
        <x:f>IF(COUNT(O154)=0,"",O154*G154)</x:f>
      </x:c>
      <x:c r="Q154" s="46" t="str">
        <x:f>IF(B154="","",IF(L154="Cancelada","Cancelada",IF(COUNT(H154)=0,"Sin recibir",IF(H154=0,"Sin recibir",IF(H154&lt;F154,"Parcial",IF(H154=F154,"Completa","Recepción excedida"))))))</x:f>
      </x:c>
    </x:row>
    <x:row r="155">
      <x:c r="A155" s="44"/>
      <x:c r="B155" s="44"/>
      <x:c r="C155" s="44"/>
      <x:c r="D155" s="44"/>
      <x:c r="E155" s="44"/>
      <x:c r="F155" s="53"/>
      <x:c r="G155" s="53"/>
      <x:c r="H155" s="53"/>
      <x:c r="I155" s="51"/>
      <x:c r="J155" s="44"/>
      <x:c r="K155" s="44"/>
      <x:c r="L155" s="46" t="str">
        <x:f>IF(B155="","",IFERROR(INDEX('ÓRDENES-DE-COMPRA'!$H$11:$H$110,MATCH(B155,'ÓRDENES-DE-COMPRA'!$A$11:$A$110,0)),""))</x:f>
      </x:c>
      <x:c r="M155" s="59" t="str">
        <x:f>IF(OR(B155="",COUNT(F155:G155)&lt;2),"",F155*G155)</x:f>
      </x:c>
      <x:c r="N155" s="59" t="str">
        <x:f>IF(OR(B155="",COUNT(F155:H155)&lt;3),"",IF(L155="Cancelada",0,MIN(F155,H155)*G155))</x:f>
      </x:c>
      <x:c r="O155" s="59" t="str">
        <x:f>IF(OR(B155="",COUNT(F155:H155)&lt;3),"",IF(L155="Cancelada",0,MAX(F155-H155,0)))</x:f>
      </x:c>
      <x:c r="P155" s="59" t="str">
        <x:f>IF(COUNT(O155)=0,"",O155*G155)</x:f>
      </x:c>
      <x:c r="Q155" s="46" t="str">
        <x:f>IF(B155="","",IF(L155="Cancelada","Cancelada",IF(COUNT(H155)=0,"Sin recibir",IF(H155=0,"Sin recibir",IF(H155&lt;F155,"Parcial",IF(H155=F155,"Completa","Recepción excedida"))))))</x:f>
      </x:c>
    </x:row>
    <x:row r="156">
      <x:c r="A156" s="44"/>
      <x:c r="B156" s="44"/>
      <x:c r="C156" s="44"/>
      <x:c r="D156" s="44"/>
      <x:c r="E156" s="44"/>
      <x:c r="F156" s="53"/>
      <x:c r="G156" s="53"/>
      <x:c r="H156" s="53"/>
      <x:c r="I156" s="51"/>
      <x:c r="J156" s="44"/>
      <x:c r="K156" s="44"/>
      <x:c r="L156" s="46" t="str">
        <x:f>IF(B156="","",IFERROR(INDEX('ÓRDENES-DE-COMPRA'!$H$11:$H$110,MATCH(B156,'ÓRDENES-DE-COMPRA'!$A$11:$A$110,0)),""))</x:f>
      </x:c>
      <x:c r="M156" s="59" t="str">
        <x:f>IF(OR(B156="",COUNT(F156:G156)&lt;2),"",F156*G156)</x:f>
      </x:c>
      <x:c r="N156" s="59" t="str">
        <x:f>IF(OR(B156="",COUNT(F156:H156)&lt;3),"",IF(L156="Cancelada",0,MIN(F156,H156)*G156))</x:f>
      </x:c>
      <x:c r="O156" s="59" t="str">
        <x:f>IF(OR(B156="",COUNT(F156:H156)&lt;3),"",IF(L156="Cancelada",0,MAX(F156-H156,0)))</x:f>
      </x:c>
      <x:c r="P156" s="59" t="str">
        <x:f>IF(COUNT(O156)=0,"",O156*G156)</x:f>
      </x:c>
      <x:c r="Q156" s="46" t="str">
        <x:f>IF(B156="","",IF(L156="Cancelada","Cancelada",IF(COUNT(H156)=0,"Sin recibir",IF(H156=0,"Sin recibir",IF(H156&lt;F156,"Parcial",IF(H156=F156,"Completa","Recepción excedida"))))))</x:f>
      </x:c>
    </x:row>
    <x:row r="157">
      <x:c r="A157" s="44"/>
      <x:c r="B157" s="44"/>
      <x:c r="C157" s="44"/>
      <x:c r="D157" s="44"/>
      <x:c r="E157" s="44"/>
      <x:c r="F157" s="53"/>
      <x:c r="G157" s="53"/>
      <x:c r="H157" s="53"/>
      <x:c r="I157" s="51"/>
      <x:c r="J157" s="44"/>
      <x:c r="K157" s="44"/>
      <x:c r="L157" s="46" t="str">
        <x:f>IF(B157="","",IFERROR(INDEX('ÓRDENES-DE-COMPRA'!$H$11:$H$110,MATCH(B157,'ÓRDENES-DE-COMPRA'!$A$11:$A$110,0)),""))</x:f>
      </x:c>
      <x:c r="M157" s="59" t="str">
        <x:f>IF(OR(B157="",COUNT(F157:G157)&lt;2),"",F157*G157)</x:f>
      </x:c>
      <x:c r="N157" s="59" t="str">
        <x:f>IF(OR(B157="",COUNT(F157:H157)&lt;3),"",IF(L157="Cancelada",0,MIN(F157,H157)*G157))</x:f>
      </x:c>
      <x:c r="O157" s="59" t="str">
        <x:f>IF(OR(B157="",COUNT(F157:H157)&lt;3),"",IF(L157="Cancelada",0,MAX(F157-H157,0)))</x:f>
      </x:c>
      <x:c r="P157" s="59" t="str">
        <x:f>IF(COUNT(O157)=0,"",O157*G157)</x:f>
      </x:c>
      <x:c r="Q157" s="46" t="str">
        <x:f>IF(B157="","",IF(L157="Cancelada","Cancelada",IF(COUNT(H157)=0,"Sin recibir",IF(H157=0,"Sin recibir",IF(H157&lt;F157,"Parcial",IF(H157=F157,"Completa","Recepción excedida"))))))</x:f>
      </x:c>
    </x:row>
    <x:row r="158">
      <x:c r="A158" s="44"/>
      <x:c r="B158" s="44"/>
      <x:c r="C158" s="44"/>
      <x:c r="D158" s="44"/>
      <x:c r="E158" s="44"/>
      <x:c r="F158" s="53"/>
      <x:c r="G158" s="53"/>
      <x:c r="H158" s="53"/>
      <x:c r="I158" s="51"/>
      <x:c r="J158" s="44"/>
      <x:c r="K158" s="44"/>
      <x:c r="L158" s="46" t="str">
        <x:f>IF(B158="","",IFERROR(INDEX('ÓRDENES-DE-COMPRA'!$H$11:$H$110,MATCH(B158,'ÓRDENES-DE-COMPRA'!$A$11:$A$110,0)),""))</x:f>
      </x:c>
      <x:c r="M158" s="59" t="str">
        <x:f>IF(OR(B158="",COUNT(F158:G158)&lt;2),"",F158*G158)</x:f>
      </x:c>
      <x:c r="N158" s="59" t="str">
        <x:f>IF(OR(B158="",COUNT(F158:H158)&lt;3),"",IF(L158="Cancelada",0,MIN(F158,H158)*G158))</x:f>
      </x:c>
      <x:c r="O158" s="59" t="str">
        <x:f>IF(OR(B158="",COUNT(F158:H158)&lt;3),"",IF(L158="Cancelada",0,MAX(F158-H158,0)))</x:f>
      </x:c>
      <x:c r="P158" s="59" t="str">
        <x:f>IF(COUNT(O158)=0,"",O158*G158)</x:f>
      </x:c>
      <x:c r="Q158" s="46" t="str">
        <x:f>IF(B158="","",IF(L158="Cancelada","Cancelada",IF(COUNT(H158)=0,"Sin recibir",IF(H158=0,"Sin recibir",IF(H158&lt;F158,"Parcial",IF(H158=F158,"Completa","Recepción excedida"))))))</x:f>
      </x:c>
    </x:row>
    <x:row r="159">
      <x:c r="A159" s="44"/>
      <x:c r="B159" s="44"/>
      <x:c r="C159" s="44"/>
      <x:c r="D159" s="44"/>
      <x:c r="E159" s="44"/>
      <x:c r="F159" s="53"/>
      <x:c r="G159" s="53"/>
      <x:c r="H159" s="53"/>
      <x:c r="I159" s="51"/>
      <x:c r="J159" s="44"/>
      <x:c r="K159" s="44"/>
      <x:c r="L159" s="46" t="str">
        <x:f>IF(B159="","",IFERROR(INDEX('ÓRDENES-DE-COMPRA'!$H$11:$H$110,MATCH(B159,'ÓRDENES-DE-COMPRA'!$A$11:$A$110,0)),""))</x:f>
      </x:c>
      <x:c r="M159" s="59" t="str">
        <x:f>IF(OR(B159="",COUNT(F159:G159)&lt;2),"",F159*G159)</x:f>
      </x:c>
      <x:c r="N159" s="59" t="str">
        <x:f>IF(OR(B159="",COUNT(F159:H159)&lt;3),"",IF(L159="Cancelada",0,MIN(F159,H159)*G159))</x:f>
      </x:c>
      <x:c r="O159" s="59" t="str">
        <x:f>IF(OR(B159="",COUNT(F159:H159)&lt;3),"",IF(L159="Cancelada",0,MAX(F159-H159,0)))</x:f>
      </x:c>
      <x:c r="P159" s="59" t="str">
        <x:f>IF(COUNT(O159)=0,"",O159*G159)</x:f>
      </x:c>
      <x:c r="Q159" s="46" t="str">
        <x:f>IF(B159="","",IF(L159="Cancelada","Cancelada",IF(COUNT(H159)=0,"Sin recibir",IF(H159=0,"Sin recibir",IF(H159&lt;F159,"Parcial",IF(H159=F159,"Completa","Recepción excedida"))))))</x:f>
      </x:c>
    </x:row>
    <x:row r="160">
      <x:c r="A160" s="44"/>
      <x:c r="B160" s="44"/>
      <x:c r="C160" s="44"/>
      <x:c r="D160" s="44"/>
      <x:c r="E160" s="44"/>
      <x:c r="F160" s="53"/>
      <x:c r="G160" s="53"/>
      <x:c r="H160" s="53"/>
      <x:c r="I160" s="51"/>
      <x:c r="J160" s="44"/>
      <x:c r="K160" s="44"/>
      <x:c r="L160" s="46" t="str">
        <x:f>IF(B160="","",IFERROR(INDEX('ÓRDENES-DE-COMPRA'!$H$11:$H$110,MATCH(B160,'ÓRDENES-DE-COMPRA'!$A$11:$A$110,0)),""))</x:f>
      </x:c>
      <x:c r="M160" s="59" t="str">
        <x:f>IF(OR(B160="",COUNT(F160:G160)&lt;2),"",F160*G160)</x:f>
      </x:c>
      <x:c r="N160" s="59" t="str">
        <x:f>IF(OR(B160="",COUNT(F160:H160)&lt;3),"",IF(L160="Cancelada",0,MIN(F160,H160)*G160))</x:f>
      </x:c>
      <x:c r="O160" s="59" t="str">
        <x:f>IF(OR(B160="",COUNT(F160:H160)&lt;3),"",IF(L160="Cancelada",0,MAX(F160-H160,0)))</x:f>
      </x:c>
      <x:c r="P160" s="59" t="str">
        <x:f>IF(COUNT(O160)=0,"",O160*G160)</x:f>
      </x:c>
      <x:c r="Q160" s="46" t="str">
        <x:f>IF(B160="","",IF(L160="Cancelada","Cancelada",IF(COUNT(H160)=0,"Sin recibir",IF(H160=0,"Sin recibir",IF(H160&lt;F160,"Parcial",IF(H160=F160,"Completa","Recepción excedida"))))))</x:f>
      </x:c>
    </x:row>
    <x:row r="161">
      <x:c r="A161" s="44"/>
      <x:c r="B161" s="44"/>
      <x:c r="C161" s="44"/>
      <x:c r="D161" s="44"/>
      <x:c r="E161" s="44"/>
      <x:c r="F161" s="53"/>
      <x:c r="G161" s="53"/>
      <x:c r="H161" s="53"/>
      <x:c r="I161" s="51"/>
      <x:c r="J161" s="44"/>
      <x:c r="K161" s="44"/>
      <x:c r="L161" s="46" t="str">
        <x:f>IF(B161="","",IFERROR(INDEX('ÓRDENES-DE-COMPRA'!$H$11:$H$110,MATCH(B161,'ÓRDENES-DE-COMPRA'!$A$11:$A$110,0)),""))</x:f>
      </x:c>
      <x:c r="M161" s="59" t="str">
        <x:f>IF(OR(B161="",COUNT(F161:G161)&lt;2),"",F161*G161)</x:f>
      </x:c>
      <x:c r="N161" s="59" t="str">
        <x:f>IF(OR(B161="",COUNT(F161:H161)&lt;3),"",IF(L161="Cancelada",0,MIN(F161,H161)*G161))</x:f>
      </x:c>
      <x:c r="O161" s="59" t="str">
        <x:f>IF(OR(B161="",COUNT(F161:H161)&lt;3),"",IF(L161="Cancelada",0,MAX(F161-H161,0)))</x:f>
      </x:c>
      <x:c r="P161" s="59" t="str">
        <x:f>IF(COUNT(O161)=0,"",O161*G161)</x:f>
      </x:c>
      <x:c r="Q161" s="46" t="str">
        <x:f>IF(B161="","",IF(L161="Cancelada","Cancelada",IF(COUNT(H161)=0,"Sin recibir",IF(H161=0,"Sin recibir",IF(H161&lt;F161,"Parcial",IF(H161=F161,"Completa","Recepción excedida"))))))</x:f>
      </x:c>
    </x:row>
    <x:row r="162">
      <x:c r="A162" s="44"/>
      <x:c r="B162" s="44"/>
      <x:c r="C162" s="44"/>
      <x:c r="D162" s="44"/>
      <x:c r="E162" s="44"/>
      <x:c r="F162" s="53"/>
      <x:c r="G162" s="53"/>
      <x:c r="H162" s="53"/>
      <x:c r="I162" s="51"/>
      <x:c r="J162" s="44"/>
      <x:c r="K162" s="44"/>
      <x:c r="L162" s="46" t="str">
        <x:f>IF(B162="","",IFERROR(INDEX('ÓRDENES-DE-COMPRA'!$H$11:$H$110,MATCH(B162,'ÓRDENES-DE-COMPRA'!$A$11:$A$110,0)),""))</x:f>
      </x:c>
      <x:c r="M162" s="59" t="str">
        <x:f>IF(OR(B162="",COUNT(F162:G162)&lt;2),"",F162*G162)</x:f>
      </x:c>
      <x:c r="N162" s="59" t="str">
        <x:f>IF(OR(B162="",COUNT(F162:H162)&lt;3),"",IF(L162="Cancelada",0,MIN(F162,H162)*G162))</x:f>
      </x:c>
      <x:c r="O162" s="59" t="str">
        <x:f>IF(OR(B162="",COUNT(F162:H162)&lt;3),"",IF(L162="Cancelada",0,MAX(F162-H162,0)))</x:f>
      </x:c>
      <x:c r="P162" s="59" t="str">
        <x:f>IF(COUNT(O162)=0,"",O162*G162)</x:f>
      </x:c>
      <x:c r="Q162" s="46" t="str">
        <x:f>IF(B162="","",IF(L162="Cancelada","Cancelada",IF(COUNT(H162)=0,"Sin recibir",IF(H162=0,"Sin recibir",IF(H162&lt;F162,"Parcial",IF(H162=F162,"Completa","Recepción excedida"))))))</x:f>
      </x:c>
    </x:row>
    <x:row r="163">
      <x:c r="A163" s="44"/>
      <x:c r="B163" s="44"/>
      <x:c r="C163" s="44"/>
      <x:c r="D163" s="44"/>
      <x:c r="E163" s="44"/>
      <x:c r="F163" s="53"/>
      <x:c r="G163" s="53"/>
      <x:c r="H163" s="53"/>
      <x:c r="I163" s="51"/>
      <x:c r="J163" s="44"/>
      <x:c r="K163" s="44"/>
      <x:c r="L163" s="46" t="str">
        <x:f>IF(B163="","",IFERROR(INDEX('ÓRDENES-DE-COMPRA'!$H$11:$H$110,MATCH(B163,'ÓRDENES-DE-COMPRA'!$A$11:$A$110,0)),""))</x:f>
      </x:c>
      <x:c r="M163" s="59" t="str">
        <x:f>IF(OR(B163="",COUNT(F163:G163)&lt;2),"",F163*G163)</x:f>
      </x:c>
      <x:c r="N163" s="59" t="str">
        <x:f>IF(OR(B163="",COUNT(F163:H163)&lt;3),"",IF(L163="Cancelada",0,MIN(F163,H163)*G163))</x:f>
      </x:c>
      <x:c r="O163" s="59" t="str">
        <x:f>IF(OR(B163="",COUNT(F163:H163)&lt;3),"",IF(L163="Cancelada",0,MAX(F163-H163,0)))</x:f>
      </x:c>
      <x:c r="P163" s="59" t="str">
        <x:f>IF(COUNT(O163)=0,"",O163*G163)</x:f>
      </x:c>
      <x:c r="Q163" s="46" t="str">
        <x:f>IF(B163="","",IF(L163="Cancelada","Cancelada",IF(COUNT(H163)=0,"Sin recibir",IF(H163=0,"Sin recibir",IF(H163&lt;F163,"Parcial",IF(H163=F163,"Completa","Recepción excedida"))))))</x:f>
      </x:c>
    </x:row>
    <x:row r="164">
      <x:c r="A164" s="44"/>
      <x:c r="B164" s="44"/>
      <x:c r="C164" s="44"/>
      <x:c r="D164" s="44"/>
      <x:c r="E164" s="44"/>
      <x:c r="F164" s="53"/>
      <x:c r="G164" s="53"/>
      <x:c r="H164" s="53"/>
      <x:c r="I164" s="51"/>
      <x:c r="J164" s="44"/>
      <x:c r="K164" s="44"/>
      <x:c r="L164" s="46" t="str">
        <x:f>IF(B164="","",IFERROR(INDEX('ÓRDENES-DE-COMPRA'!$H$11:$H$110,MATCH(B164,'ÓRDENES-DE-COMPRA'!$A$11:$A$110,0)),""))</x:f>
      </x:c>
      <x:c r="M164" s="59" t="str">
        <x:f>IF(OR(B164="",COUNT(F164:G164)&lt;2),"",F164*G164)</x:f>
      </x:c>
      <x:c r="N164" s="59" t="str">
        <x:f>IF(OR(B164="",COUNT(F164:H164)&lt;3),"",IF(L164="Cancelada",0,MIN(F164,H164)*G164))</x:f>
      </x:c>
      <x:c r="O164" s="59" t="str">
        <x:f>IF(OR(B164="",COUNT(F164:H164)&lt;3),"",IF(L164="Cancelada",0,MAX(F164-H164,0)))</x:f>
      </x:c>
      <x:c r="P164" s="59" t="str">
        <x:f>IF(COUNT(O164)=0,"",O164*G164)</x:f>
      </x:c>
      <x:c r="Q164" s="46" t="str">
        <x:f>IF(B164="","",IF(L164="Cancelada","Cancelada",IF(COUNT(H164)=0,"Sin recibir",IF(H164=0,"Sin recibir",IF(H164&lt;F164,"Parcial",IF(H164=F164,"Completa","Recepción excedida"))))))</x:f>
      </x:c>
    </x:row>
    <x:row r="165">
      <x:c r="A165" s="44"/>
      <x:c r="B165" s="44"/>
      <x:c r="C165" s="44"/>
      <x:c r="D165" s="44"/>
      <x:c r="E165" s="44"/>
      <x:c r="F165" s="53"/>
      <x:c r="G165" s="53"/>
      <x:c r="H165" s="53"/>
      <x:c r="I165" s="51"/>
      <x:c r="J165" s="44"/>
      <x:c r="K165" s="44"/>
      <x:c r="L165" s="46" t="str">
        <x:f>IF(B165="","",IFERROR(INDEX('ÓRDENES-DE-COMPRA'!$H$11:$H$110,MATCH(B165,'ÓRDENES-DE-COMPRA'!$A$11:$A$110,0)),""))</x:f>
      </x:c>
      <x:c r="M165" s="59" t="str">
        <x:f>IF(OR(B165="",COUNT(F165:G165)&lt;2),"",F165*G165)</x:f>
      </x:c>
      <x:c r="N165" s="59" t="str">
        <x:f>IF(OR(B165="",COUNT(F165:H165)&lt;3),"",IF(L165="Cancelada",0,MIN(F165,H165)*G165))</x:f>
      </x:c>
      <x:c r="O165" s="59" t="str">
        <x:f>IF(OR(B165="",COUNT(F165:H165)&lt;3),"",IF(L165="Cancelada",0,MAX(F165-H165,0)))</x:f>
      </x:c>
      <x:c r="P165" s="59" t="str">
        <x:f>IF(COUNT(O165)=0,"",O165*G165)</x:f>
      </x:c>
      <x:c r="Q165" s="46" t="str">
        <x:f>IF(B165="","",IF(L165="Cancelada","Cancelada",IF(COUNT(H165)=0,"Sin recibir",IF(H165=0,"Sin recibir",IF(H165&lt;F165,"Parcial",IF(H165=F165,"Completa","Recepción excedida"))))))</x:f>
      </x:c>
    </x:row>
    <x:row r="166">
      <x:c r="A166" s="44"/>
      <x:c r="B166" s="44"/>
      <x:c r="C166" s="44"/>
      <x:c r="D166" s="44"/>
      <x:c r="E166" s="44"/>
      <x:c r="F166" s="53"/>
      <x:c r="G166" s="53"/>
      <x:c r="H166" s="53"/>
      <x:c r="I166" s="51"/>
      <x:c r="J166" s="44"/>
      <x:c r="K166" s="44"/>
      <x:c r="L166" s="46" t="str">
        <x:f>IF(B166="","",IFERROR(INDEX('ÓRDENES-DE-COMPRA'!$H$11:$H$110,MATCH(B166,'ÓRDENES-DE-COMPRA'!$A$11:$A$110,0)),""))</x:f>
      </x:c>
      <x:c r="M166" s="59" t="str">
        <x:f>IF(OR(B166="",COUNT(F166:G166)&lt;2),"",F166*G166)</x:f>
      </x:c>
      <x:c r="N166" s="59" t="str">
        <x:f>IF(OR(B166="",COUNT(F166:H166)&lt;3),"",IF(L166="Cancelada",0,MIN(F166,H166)*G166))</x:f>
      </x:c>
      <x:c r="O166" s="59" t="str">
        <x:f>IF(OR(B166="",COUNT(F166:H166)&lt;3),"",IF(L166="Cancelada",0,MAX(F166-H166,0)))</x:f>
      </x:c>
      <x:c r="P166" s="59" t="str">
        <x:f>IF(COUNT(O166)=0,"",O166*G166)</x:f>
      </x:c>
      <x:c r="Q166" s="46" t="str">
        <x:f>IF(B166="","",IF(L166="Cancelada","Cancelada",IF(COUNT(H166)=0,"Sin recibir",IF(H166=0,"Sin recibir",IF(H166&lt;F166,"Parcial",IF(H166=F166,"Completa","Recepción excedida"))))))</x:f>
      </x:c>
    </x:row>
    <x:row r="167">
      <x:c r="A167" s="44"/>
      <x:c r="B167" s="44"/>
      <x:c r="C167" s="44"/>
      <x:c r="D167" s="44"/>
      <x:c r="E167" s="44"/>
      <x:c r="F167" s="53"/>
      <x:c r="G167" s="53"/>
      <x:c r="H167" s="53"/>
      <x:c r="I167" s="51"/>
      <x:c r="J167" s="44"/>
      <x:c r="K167" s="44"/>
      <x:c r="L167" s="46" t="str">
        <x:f>IF(B167="","",IFERROR(INDEX('ÓRDENES-DE-COMPRA'!$H$11:$H$110,MATCH(B167,'ÓRDENES-DE-COMPRA'!$A$11:$A$110,0)),""))</x:f>
      </x:c>
      <x:c r="M167" s="59" t="str">
        <x:f>IF(OR(B167="",COUNT(F167:G167)&lt;2),"",F167*G167)</x:f>
      </x:c>
      <x:c r="N167" s="59" t="str">
        <x:f>IF(OR(B167="",COUNT(F167:H167)&lt;3),"",IF(L167="Cancelada",0,MIN(F167,H167)*G167))</x:f>
      </x:c>
      <x:c r="O167" s="59" t="str">
        <x:f>IF(OR(B167="",COUNT(F167:H167)&lt;3),"",IF(L167="Cancelada",0,MAX(F167-H167,0)))</x:f>
      </x:c>
      <x:c r="P167" s="59" t="str">
        <x:f>IF(COUNT(O167)=0,"",O167*G167)</x:f>
      </x:c>
      <x:c r="Q167" s="46" t="str">
        <x:f>IF(B167="","",IF(L167="Cancelada","Cancelada",IF(COUNT(H167)=0,"Sin recibir",IF(H167=0,"Sin recibir",IF(H167&lt;F167,"Parcial",IF(H167=F167,"Completa","Recepción excedida"))))))</x:f>
      </x:c>
    </x:row>
    <x:row r="168">
      <x:c r="A168" s="44"/>
      <x:c r="B168" s="44"/>
      <x:c r="C168" s="44"/>
      <x:c r="D168" s="44"/>
      <x:c r="E168" s="44"/>
      <x:c r="F168" s="53"/>
      <x:c r="G168" s="53"/>
      <x:c r="H168" s="53"/>
      <x:c r="I168" s="51"/>
      <x:c r="J168" s="44"/>
      <x:c r="K168" s="44"/>
      <x:c r="L168" s="46" t="str">
        <x:f>IF(B168="","",IFERROR(INDEX('ÓRDENES-DE-COMPRA'!$H$11:$H$110,MATCH(B168,'ÓRDENES-DE-COMPRA'!$A$11:$A$110,0)),""))</x:f>
      </x:c>
      <x:c r="M168" s="59" t="str">
        <x:f>IF(OR(B168="",COUNT(F168:G168)&lt;2),"",F168*G168)</x:f>
      </x:c>
      <x:c r="N168" s="59" t="str">
        <x:f>IF(OR(B168="",COUNT(F168:H168)&lt;3),"",IF(L168="Cancelada",0,MIN(F168,H168)*G168))</x:f>
      </x:c>
      <x:c r="O168" s="59" t="str">
        <x:f>IF(OR(B168="",COUNT(F168:H168)&lt;3),"",IF(L168="Cancelada",0,MAX(F168-H168,0)))</x:f>
      </x:c>
      <x:c r="P168" s="59" t="str">
        <x:f>IF(COUNT(O168)=0,"",O168*G168)</x:f>
      </x:c>
      <x:c r="Q168" s="46" t="str">
        <x:f>IF(B168="","",IF(L168="Cancelada","Cancelada",IF(COUNT(H168)=0,"Sin recibir",IF(H168=0,"Sin recibir",IF(H168&lt;F168,"Parcial",IF(H168=F168,"Completa","Recepción excedida"))))))</x:f>
      </x:c>
    </x:row>
    <x:row r="169">
      <x:c r="A169" s="44"/>
      <x:c r="B169" s="44"/>
      <x:c r="C169" s="44"/>
      <x:c r="D169" s="44"/>
      <x:c r="E169" s="44"/>
      <x:c r="F169" s="53"/>
      <x:c r="G169" s="53"/>
      <x:c r="H169" s="53"/>
      <x:c r="I169" s="51"/>
      <x:c r="J169" s="44"/>
      <x:c r="K169" s="44"/>
      <x:c r="L169" s="46" t="str">
        <x:f>IF(B169="","",IFERROR(INDEX('ÓRDENES-DE-COMPRA'!$H$11:$H$110,MATCH(B169,'ÓRDENES-DE-COMPRA'!$A$11:$A$110,0)),""))</x:f>
      </x:c>
      <x:c r="M169" s="59" t="str">
        <x:f>IF(OR(B169="",COUNT(F169:G169)&lt;2),"",F169*G169)</x:f>
      </x:c>
      <x:c r="N169" s="59" t="str">
        <x:f>IF(OR(B169="",COUNT(F169:H169)&lt;3),"",IF(L169="Cancelada",0,MIN(F169,H169)*G169))</x:f>
      </x:c>
      <x:c r="O169" s="59" t="str">
        <x:f>IF(OR(B169="",COUNT(F169:H169)&lt;3),"",IF(L169="Cancelada",0,MAX(F169-H169,0)))</x:f>
      </x:c>
      <x:c r="P169" s="59" t="str">
        <x:f>IF(COUNT(O169)=0,"",O169*G169)</x:f>
      </x:c>
      <x:c r="Q169" s="46" t="str">
        <x:f>IF(B169="","",IF(L169="Cancelada","Cancelada",IF(COUNT(H169)=0,"Sin recibir",IF(H169=0,"Sin recibir",IF(H169&lt;F169,"Parcial",IF(H169=F169,"Completa","Recepción excedida"))))))</x:f>
      </x:c>
    </x:row>
    <x:row r="170">
      <x:c r="A170" s="44"/>
      <x:c r="B170" s="44"/>
      <x:c r="C170" s="44"/>
      <x:c r="D170" s="44"/>
      <x:c r="E170" s="44"/>
      <x:c r="F170" s="53"/>
      <x:c r="G170" s="53"/>
      <x:c r="H170" s="53"/>
      <x:c r="I170" s="51"/>
      <x:c r="J170" s="44"/>
      <x:c r="K170" s="44"/>
      <x:c r="L170" s="46" t="str">
        <x:f>IF(B170="","",IFERROR(INDEX('ÓRDENES-DE-COMPRA'!$H$11:$H$110,MATCH(B170,'ÓRDENES-DE-COMPRA'!$A$11:$A$110,0)),""))</x:f>
      </x:c>
      <x:c r="M170" s="59" t="str">
        <x:f>IF(OR(B170="",COUNT(F170:G170)&lt;2),"",F170*G170)</x:f>
      </x:c>
      <x:c r="N170" s="59" t="str">
        <x:f>IF(OR(B170="",COUNT(F170:H170)&lt;3),"",IF(L170="Cancelada",0,MIN(F170,H170)*G170))</x:f>
      </x:c>
      <x:c r="O170" s="59" t="str">
        <x:f>IF(OR(B170="",COUNT(F170:H170)&lt;3),"",IF(L170="Cancelada",0,MAX(F170-H170,0)))</x:f>
      </x:c>
      <x:c r="P170" s="59" t="str">
        <x:f>IF(COUNT(O170)=0,"",O170*G170)</x:f>
      </x:c>
      <x:c r="Q170" s="46" t="str">
        <x:f>IF(B170="","",IF(L170="Cancelada","Cancelada",IF(COUNT(H170)=0,"Sin recibir",IF(H170=0,"Sin recibir",IF(H170&lt;F170,"Parcial",IF(H170=F170,"Completa","Recepción excedida"))))))</x:f>
      </x:c>
    </x:row>
    <x:row r="171">
      <x:c r="A171" s="44"/>
      <x:c r="B171" s="44"/>
      <x:c r="C171" s="44"/>
      <x:c r="D171" s="44"/>
      <x:c r="E171" s="44"/>
      <x:c r="F171" s="53"/>
      <x:c r="G171" s="53"/>
      <x:c r="H171" s="53"/>
      <x:c r="I171" s="51"/>
      <x:c r="J171" s="44"/>
      <x:c r="K171" s="44"/>
      <x:c r="L171" s="46" t="str">
        <x:f>IF(B171="","",IFERROR(INDEX('ÓRDENES-DE-COMPRA'!$H$11:$H$110,MATCH(B171,'ÓRDENES-DE-COMPRA'!$A$11:$A$110,0)),""))</x:f>
      </x:c>
      <x:c r="M171" s="59" t="str">
        <x:f>IF(OR(B171="",COUNT(F171:G171)&lt;2),"",F171*G171)</x:f>
      </x:c>
      <x:c r="N171" s="59" t="str">
        <x:f>IF(OR(B171="",COUNT(F171:H171)&lt;3),"",IF(L171="Cancelada",0,MIN(F171,H171)*G171))</x:f>
      </x:c>
      <x:c r="O171" s="59" t="str">
        <x:f>IF(OR(B171="",COUNT(F171:H171)&lt;3),"",IF(L171="Cancelada",0,MAX(F171-H171,0)))</x:f>
      </x:c>
      <x:c r="P171" s="59" t="str">
        <x:f>IF(COUNT(O171)=0,"",O171*G171)</x:f>
      </x:c>
      <x:c r="Q171" s="46" t="str">
        <x:f>IF(B171="","",IF(L171="Cancelada","Cancelada",IF(COUNT(H171)=0,"Sin recibir",IF(H171=0,"Sin recibir",IF(H171&lt;F171,"Parcial",IF(H171=F171,"Completa","Recepción excedida"))))))</x:f>
      </x:c>
    </x:row>
    <x:row r="172">
      <x:c r="A172" s="44"/>
      <x:c r="B172" s="44"/>
      <x:c r="C172" s="44"/>
      <x:c r="D172" s="44"/>
      <x:c r="E172" s="44"/>
      <x:c r="F172" s="53"/>
      <x:c r="G172" s="53"/>
      <x:c r="H172" s="53"/>
      <x:c r="I172" s="51"/>
      <x:c r="J172" s="44"/>
      <x:c r="K172" s="44"/>
      <x:c r="L172" s="46" t="str">
        <x:f>IF(B172="","",IFERROR(INDEX('ÓRDENES-DE-COMPRA'!$H$11:$H$110,MATCH(B172,'ÓRDENES-DE-COMPRA'!$A$11:$A$110,0)),""))</x:f>
      </x:c>
      <x:c r="M172" s="59" t="str">
        <x:f>IF(OR(B172="",COUNT(F172:G172)&lt;2),"",F172*G172)</x:f>
      </x:c>
      <x:c r="N172" s="59" t="str">
        <x:f>IF(OR(B172="",COUNT(F172:H172)&lt;3),"",IF(L172="Cancelada",0,MIN(F172,H172)*G172))</x:f>
      </x:c>
      <x:c r="O172" s="59" t="str">
        <x:f>IF(OR(B172="",COUNT(F172:H172)&lt;3),"",IF(L172="Cancelada",0,MAX(F172-H172,0)))</x:f>
      </x:c>
      <x:c r="P172" s="59" t="str">
        <x:f>IF(COUNT(O172)=0,"",O172*G172)</x:f>
      </x:c>
      <x:c r="Q172" s="46" t="str">
        <x:f>IF(B172="","",IF(L172="Cancelada","Cancelada",IF(COUNT(H172)=0,"Sin recibir",IF(H172=0,"Sin recibir",IF(H172&lt;F172,"Parcial",IF(H172=F172,"Completa","Recepción excedida"))))))</x:f>
      </x:c>
    </x:row>
    <x:row r="173">
      <x:c r="A173" s="44"/>
      <x:c r="B173" s="44"/>
      <x:c r="C173" s="44"/>
      <x:c r="D173" s="44"/>
      <x:c r="E173" s="44"/>
      <x:c r="F173" s="53"/>
      <x:c r="G173" s="53"/>
      <x:c r="H173" s="53"/>
      <x:c r="I173" s="51"/>
      <x:c r="J173" s="44"/>
      <x:c r="K173" s="44"/>
      <x:c r="L173" s="46" t="str">
        <x:f>IF(B173="","",IFERROR(INDEX('ÓRDENES-DE-COMPRA'!$H$11:$H$110,MATCH(B173,'ÓRDENES-DE-COMPRA'!$A$11:$A$110,0)),""))</x:f>
      </x:c>
      <x:c r="M173" s="59" t="str">
        <x:f>IF(OR(B173="",COUNT(F173:G173)&lt;2),"",F173*G173)</x:f>
      </x:c>
      <x:c r="N173" s="59" t="str">
        <x:f>IF(OR(B173="",COUNT(F173:H173)&lt;3),"",IF(L173="Cancelada",0,MIN(F173,H173)*G173))</x:f>
      </x:c>
      <x:c r="O173" s="59" t="str">
        <x:f>IF(OR(B173="",COUNT(F173:H173)&lt;3),"",IF(L173="Cancelada",0,MAX(F173-H173,0)))</x:f>
      </x:c>
      <x:c r="P173" s="59" t="str">
        <x:f>IF(COUNT(O173)=0,"",O173*G173)</x:f>
      </x:c>
      <x:c r="Q173" s="46" t="str">
        <x:f>IF(B173="","",IF(L173="Cancelada","Cancelada",IF(COUNT(H173)=0,"Sin recibir",IF(H173=0,"Sin recibir",IF(H173&lt;F173,"Parcial",IF(H173=F173,"Completa","Recepción excedida"))))))</x:f>
      </x:c>
    </x:row>
    <x:row r="174">
      <x:c r="A174" s="44"/>
      <x:c r="B174" s="44"/>
      <x:c r="C174" s="44"/>
      <x:c r="D174" s="44"/>
      <x:c r="E174" s="44"/>
      <x:c r="F174" s="53"/>
      <x:c r="G174" s="53"/>
      <x:c r="H174" s="53"/>
      <x:c r="I174" s="51"/>
      <x:c r="J174" s="44"/>
      <x:c r="K174" s="44"/>
      <x:c r="L174" s="46" t="str">
        <x:f>IF(B174="","",IFERROR(INDEX('ÓRDENES-DE-COMPRA'!$H$11:$H$110,MATCH(B174,'ÓRDENES-DE-COMPRA'!$A$11:$A$110,0)),""))</x:f>
      </x:c>
      <x:c r="M174" s="59" t="str">
        <x:f>IF(OR(B174="",COUNT(F174:G174)&lt;2),"",F174*G174)</x:f>
      </x:c>
      <x:c r="N174" s="59" t="str">
        <x:f>IF(OR(B174="",COUNT(F174:H174)&lt;3),"",IF(L174="Cancelada",0,MIN(F174,H174)*G174))</x:f>
      </x:c>
      <x:c r="O174" s="59" t="str">
        <x:f>IF(OR(B174="",COUNT(F174:H174)&lt;3),"",IF(L174="Cancelada",0,MAX(F174-H174,0)))</x:f>
      </x:c>
      <x:c r="P174" s="59" t="str">
        <x:f>IF(COUNT(O174)=0,"",O174*G174)</x:f>
      </x:c>
      <x:c r="Q174" s="46" t="str">
        <x:f>IF(B174="","",IF(L174="Cancelada","Cancelada",IF(COUNT(H174)=0,"Sin recibir",IF(H174=0,"Sin recibir",IF(H174&lt;F174,"Parcial",IF(H174=F174,"Completa","Recepción excedida"))))))</x:f>
      </x:c>
    </x:row>
    <x:row r="175">
      <x:c r="A175" s="44"/>
      <x:c r="B175" s="44"/>
      <x:c r="C175" s="44"/>
      <x:c r="D175" s="44"/>
      <x:c r="E175" s="44"/>
      <x:c r="F175" s="53"/>
      <x:c r="G175" s="53"/>
      <x:c r="H175" s="53"/>
      <x:c r="I175" s="51"/>
      <x:c r="J175" s="44"/>
      <x:c r="K175" s="44"/>
      <x:c r="L175" s="46" t="str">
        <x:f>IF(B175="","",IFERROR(INDEX('ÓRDENES-DE-COMPRA'!$H$11:$H$110,MATCH(B175,'ÓRDENES-DE-COMPRA'!$A$11:$A$110,0)),""))</x:f>
      </x:c>
      <x:c r="M175" s="59" t="str">
        <x:f>IF(OR(B175="",COUNT(F175:G175)&lt;2),"",F175*G175)</x:f>
      </x:c>
      <x:c r="N175" s="59" t="str">
        <x:f>IF(OR(B175="",COUNT(F175:H175)&lt;3),"",IF(L175="Cancelada",0,MIN(F175,H175)*G175))</x:f>
      </x:c>
      <x:c r="O175" s="59" t="str">
        <x:f>IF(OR(B175="",COUNT(F175:H175)&lt;3),"",IF(L175="Cancelada",0,MAX(F175-H175,0)))</x:f>
      </x:c>
      <x:c r="P175" s="59" t="str">
        <x:f>IF(COUNT(O175)=0,"",O175*G175)</x:f>
      </x:c>
      <x:c r="Q175" s="46" t="str">
        <x:f>IF(B175="","",IF(L175="Cancelada","Cancelada",IF(COUNT(H175)=0,"Sin recibir",IF(H175=0,"Sin recibir",IF(H175&lt;F175,"Parcial",IF(H175=F175,"Completa","Recepción excedida"))))))</x:f>
      </x:c>
    </x:row>
    <x:row r="176">
      <x:c r="A176" s="44"/>
      <x:c r="B176" s="44"/>
      <x:c r="C176" s="44"/>
      <x:c r="D176" s="44"/>
      <x:c r="E176" s="44"/>
      <x:c r="F176" s="53"/>
      <x:c r="G176" s="53"/>
      <x:c r="H176" s="53"/>
      <x:c r="I176" s="51"/>
      <x:c r="J176" s="44"/>
      <x:c r="K176" s="44"/>
      <x:c r="L176" s="46" t="str">
        <x:f>IF(B176="","",IFERROR(INDEX('ÓRDENES-DE-COMPRA'!$H$11:$H$110,MATCH(B176,'ÓRDENES-DE-COMPRA'!$A$11:$A$110,0)),""))</x:f>
      </x:c>
      <x:c r="M176" s="59" t="str">
        <x:f>IF(OR(B176="",COUNT(F176:G176)&lt;2),"",F176*G176)</x:f>
      </x:c>
      <x:c r="N176" s="59" t="str">
        <x:f>IF(OR(B176="",COUNT(F176:H176)&lt;3),"",IF(L176="Cancelada",0,MIN(F176,H176)*G176))</x:f>
      </x:c>
      <x:c r="O176" s="59" t="str">
        <x:f>IF(OR(B176="",COUNT(F176:H176)&lt;3),"",IF(L176="Cancelada",0,MAX(F176-H176,0)))</x:f>
      </x:c>
      <x:c r="P176" s="59" t="str">
        <x:f>IF(COUNT(O176)=0,"",O176*G176)</x:f>
      </x:c>
      <x:c r="Q176" s="46" t="str">
        <x:f>IF(B176="","",IF(L176="Cancelada","Cancelada",IF(COUNT(H176)=0,"Sin recibir",IF(H176=0,"Sin recibir",IF(H176&lt;F176,"Parcial",IF(H176=F176,"Completa","Recepción excedida"))))))</x:f>
      </x:c>
    </x:row>
    <x:row r="177">
      <x:c r="A177" s="44"/>
      <x:c r="B177" s="44"/>
      <x:c r="C177" s="44"/>
      <x:c r="D177" s="44"/>
      <x:c r="E177" s="44"/>
      <x:c r="F177" s="53"/>
      <x:c r="G177" s="53"/>
      <x:c r="H177" s="53"/>
      <x:c r="I177" s="51"/>
      <x:c r="J177" s="44"/>
      <x:c r="K177" s="44"/>
      <x:c r="L177" s="46" t="str">
        <x:f>IF(B177="","",IFERROR(INDEX('ÓRDENES-DE-COMPRA'!$H$11:$H$110,MATCH(B177,'ÓRDENES-DE-COMPRA'!$A$11:$A$110,0)),""))</x:f>
      </x:c>
      <x:c r="M177" s="59" t="str">
        <x:f>IF(OR(B177="",COUNT(F177:G177)&lt;2),"",F177*G177)</x:f>
      </x:c>
      <x:c r="N177" s="59" t="str">
        <x:f>IF(OR(B177="",COUNT(F177:H177)&lt;3),"",IF(L177="Cancelada",0,MIN(F177,H177)*G177))</x:f>
      </x:c>
      <x:c r="O177" s="59" t="str">
        <x:f>IF(OR(B177="",COUNT(F177:H177)&lt;3),"",IF(L177="Cancelada",0,MAX(F177-H177,0)))</x:f>
      </x:c>
      <x:c r="P177" s="59" t="str">
        <x:f>IF(COUNT(O177)=0,"",O177*G177)</x:f>
      </x:c>
      <x:c r="Q177" s="46" t="str">
        <x:f>IF(B177="","",IF(L177="Cancelada","Cancelada",IF(COUNT(H177)=0,"Sin recibir",IF(H177=0,"Sin recibir",IF(H177&lt;F177,"Parcial",IF(H177=F177,"Completa","Recepción excedida"))))))</x:f>
      </x:c>
    </x:row>
    <x:row r="178">
      <x:c r="A178" s="44"/>
      <x:c r="B178" s="44"/>
      <x:c r="C178" s="44"/>
      <x:c r="D178" s="44"/>
      <x:c r="E178" s="44"/>
      <x:c r="F178" s="53"/>
      <x:c r="G178" s="53"/>
      <x:c r="H178" s="53"/>
      <x:c r="I178" s="51"/>
      <x:c r="J178" s="44"/>
      <x:c r="K178" s="44"/>
      <x:c r="L178" s="46" t="str">
        <x:f>IF(B178="","",IFERROR(INDEX('ÓRDENES-DE-COMPRA'!$H$11:$H$110,MATCH(B178,'ÓRDENES-DE-COMPRA'!$A$11:$A$110,0)),""))</x:f>
      </x:c>
      <x:c r="M178" s="59" t="str">
        <x:f>IF(OR(B178="",COUNT(F178:G178)&lt;2),"",F178*G178)</x:f>
      </x:c>
      <x:c r="N178" s="59" t="str">
        <x:f>IF(OR(B178="",COUNT(F178:H178)&lt;3),"",IF(L178="Cancelada",0,MIN(F178,H178)*G178))</x:f>
      </x:c>
      <x:c r="O178" s="59" t="str">
        <x:f>IF(OR(B178="",COUNT(F178:H178)&lt;3),"",IF(L178="Cancelada",0,MAX(F178-H178,0)))</x:f>
      </x:c>
      <x:c r="P178" s="59" t="str">
        <x:f>IF(COUNT(O178)=0,"",O178*G178)</x:f>
      </x:c>
      <x:c r="Q178" s="46" t="str">
        <x:f>IF(B178="","",IF(L178="Cancelada","Cancelada",IF(COUNT(H178)=0,"Sin recibir",IF(H178=0,"Sin recibir",IF(H178&lt;F178,"Parcial",IF(H178=F178,"Completa","Recepción excedida"))))))</x:f>
      </x:c>
    </x:row>
    <x:row r="179">
      <x:c r="A179" s="44"/>
      <x:c r="B179" s="44"/>
      <x:c r="C179" s="44"/>
      <x:c r="D179" s="44"/>
      <x:c r="E179" s="44"/>
      <x:c r="F179" s="53"/>
      <x:c r="G179" s="53"/>
      <x:c r="H179" s="53"/>
      <x:c r="I179" s="51"/>
      <x:c r="J179" s="44"/>
      <x:c r="K179" s="44"/>
      <x:c r="L179" s="46" t="str">
        <x:f>IF(B179="","",IFERROR(INDEX('ÓRDENES-DE-COMPRA'!$H$11:$H$110,MATCH(B179,'ÓRDENES-DE-COMPRA'!$A$11:$A$110,0)),""))</x:f>
      </x:c>
      <x:c r="M179" s="59" t="str">
        <x:f>IF(OR(B179="",COUNT(F179:G179)&lt;2),"",F179*G179)</x:f>
      </x:c>
      <x:c r="N179" s="59" t="str">
        <x:f>IF(OR(B179="",COUNT(F179:H179)&lt;3),"",IF(L179="Cancelada",0,MIN(F179,H179)*G179))</x:f>
      </x:c>
      <x:c r="O179" s="59" t="str">
        <x:f>IF(OR(B179="",COUNT(F179:H179)&lt;3),"",IF(L179="Cancelada",0,MAX(F179-H179,0)))</x:f>
      </x:c>
      <x:c r="P179" s="59" t="str">
        <x:f>IF(COUNT(O179)=0,"",O179*G179)</x:f>
      </x:c>
      <x:c r="Q179" s="46" t="str">
        <x:f>IF(B179="","",IF(L179="Cancelada","Cancelada",IF(COUNT(H179)=0,"Sin recibir",IF(H179=0,"Sin recibir",IF(H179&lt;F179,"Parcial",IF(H179=F179,"Completa","Recepción excedida"))))))</x:f>
      </x:c>
    </x:row>
    <x:row r="180">
      <x:c r="A180" s="44"/>
      <x:c r="B180" s="44"/>
      <x:c r="C180" s="44"/>
      <x:c r="D180" s="44"/>
      <x:c r="E180" s="44"/>
      <x:c r="F180" s="53"/>
      <x:c r="G180" s="53"/>
      <x:c r="H180" s="53"/>
      <x:c r="I180" s="51"/>
      <x:c r="J180" s="44"/>
      <x:c r="K180" s="44"/>
      <x:c r="L180" s="46" t="str">
        <x:f>IF(B180="","",IFERROR(INDEX('ÓRDENES-DE-COMPRA'!$H$11:$H$110,MATCH(B180,'ÓRDENES-DE-COMPRA'!$A$11:$A$110,0)),""))</x:f>
      </x:c>
      <x:c r="M180" s="59" t="str">
        <x:f>IF(OR(B180="",COUNT(F180:G180)&lt;2),"",F180*G180)</x:f>
      </x:c>
      <x:c r="N180" s="59" t="str">
        <x:f>IF(OR(B180="",COUNT(F180:H180)&lt;3),"",IF(L180="Cancelada",0,MIN(F180,H180)*G180))</x:f>
      </x:c>
      <x:c r="O180" s="59" t="str">
        <x:f>IF(OR(B180="",COUNT(F180:H180)&lt;3),"",IF(L180="Cancelada",0,MAX(F180-H180,0)))</x:f>
      </x:c>
      <x:c r="P180" s="59" t="str">
        <x:f>IF(COUNT(O180)=0,"",O180*G180)</x:f>
      </x:c>
      <x:c r="Q180" s="46" t="str">
        <x:f>IF(B180="","",IF(L180="Cancelada","Cancelada",IF(COUNT(H180)=0,"Sin recibir",IF(H180=0,"Sin recibir",IF(H180&lt;F180,"Parcial",IF(H180=F180,"Completa","Recepción excedida"))))))</x:f>
      </x:c>
    </x:row>
    <x:row r="181">
      <x:c r="A181" s="44"/>
      <x:c r="B181" s="44"/>
      <x:c r="C181" s="44"/>
      <x:c r="D181" s="44"/>
      <x:c r="E181" s="44"/>
      <x:c r="F181" s="53"/>
      <x:c r="G181" s="53"/>
      <x:c r="H181" s="53"/>
      <x:c r="I181" s="51"/>
      <x:c r="J181" s="44"/>
      <x:c r="K181" s="44"/>
      <x:c r="L181" s="46" t="str">
        <x:f>IF(B181="","",IFERROR(INDEX('ÓRDENES-DE-COMPRA'!$H$11:$H$110,MATCH(B181,'ÓRDENES-DE-COMPRA'!$A$11:$A$110,0)),""))</x:f>
      </x:c>
      <x:c r="M181" s="59" t="str">
        <x:f>IF(OR(B181="",COUNT(F181:G181)&lt;2),"",F181*G181)</x:f>
      </x:c>
      <x:c r="N181" s="59" t="str">
        <x:f>IF(OR(B181="",COUNT(F181:H181)&lt;3),"",IF(L181="Cancelada",0,MIN(F181,H181)*G181))</x:f>
      </x:c>
      <x:c r="O181" s="59" t="str">
        <x:f>IF(OR(B181="",COUNT(F181:H181)&lt;3),"",IF(L181="Cancelada",0,MAX(F181-H181,0)))</x:f>
      </x:c>
      <x:c r="P181" s="59" t="str">
        <x:f>IF(COUNT(O181)=0,"",O181*G181)</x:f>
      </x:c>
      <x:c r="Q181" s="46" t="str">
        <x:f>IF(B181="","",IF(L181="Cancelada","Cancelada",IF(COUNT(H181)=0,"Sin recibir",IF(H181=0,"Sin recibir",IF(H181&lt;F181,"Parcial",IF(H181=F181,"Completa","Recepción excedida"))))))</x:f>
      </x:c>
    </x:row>
    <x:row r="182">
      <x:c r="A182" s="44"/>
      <x:c r="B182" s="44"/>
      <x:c r="C182" s="44"/>
      <x:c r="D182" s="44"/>
      <x:c r="E182" s="44"/>
      <x:c r="F182" s="53"/>
      <x:c r="G182" s="53"/>
      <x:c r="H182" s="53"/>
      <x:c r="I182" s="51"/>
      <x:c r="J182" s="44"/>
      <x:c r="K182" s="44"/>
      <x:c r="L182" s="46" t="str">
        <x:f>IF(B182="","",IFERROR(INDEX('ÓRDENES-DE-COMPRA'!$H$11:$H$110,MATCH(B182,'ÓRDENES-DE-COMPRA'!$A$11:$A$110,0)),""))</x:f>
      </x:c>
      <x:c r="M182" s="59" t="str">
        <x:f>IF(OR(B182="",COUNT(F182:G182)&lt;2),"",F182*G182)</x:f>
      </x:c>
      <x:c r="N182" s="59" t="str">
        <x:f>IF(OR(B182="",COUNT(F182:H182)&lt;3),"",IF(L182="Cancelada",0,MIN(F182,H182)*G182))</x:f>
      </x:c>
      <x:c r="O182" s="59" t="str">
        <x:f>IF(OR(B182="",COUNT(F182:H182)&lt;3),"",IF(L182="Cancelada",0,MAX(F182-H182,0)))</x:f>
      </x:c>
      <x:c r="P182" s="59" t="str">
        <x:f>IF(COUNT(O182)=0,"",O182*G182)</x:f>
      </x:c>
      <x:c r="Q182" s="46" t="str">
        <x:f>IF(B182="","",IF(L182="Cancelada","Cancelada",IF(COUNT(H182)=0,"Sin recibir",IF(H182=0,"Sin recibir",IF(H182&lt;F182,"Parcial",IF(H182=F182,"Completa","Recepción excedida"))))))</x:f>
      </x:c>
    </x:row>
    <x:row r="183">
      <x:c r="A183" s="44"/>
      <x:c r="B183" s="44"/>
      <x:c r="C183" s="44"/>
      <x:c r="D183" s="44"/>
      <x:c r="E183" s="44"/>
      <x:c r="F183" s="53"/>
      <x:c r="G183" s="53"/>
      <x:c r="H183" s="53"/>
      <x:c r="I183" s="51"/>
      <x:c r="J183" s="44"/>
      <x:c r="K183" s="44"/>
      <x:c r="L183" s="46" t="str">
        <x:f>IF(B183="","",IFERROR(INDEX('ÓRDENES-DE-COMPRA'!$H$11:$H$110,MATCH(B183,'ÓRDENES-DE-COMPRA'!$A$11:$A$110,0)),""))</x:f>
      </x:c>
      <x:c r="M183" s="59" t="str">
        <x:f>IF(OR(B183="",COUNT(F183:G183)&lt;2),"",F183*G183)</x:f>
      </x:c>
      <x:c r="N183" s="59" t="str">
        <x:f>IF(OR(B183="",COUNT(F183:H183)&lt;3),"",IF(L183="Cancelada",0,MIN(F183,H183)*G183))</x:f>
      </x:c>
      <x:c r="O183" s="59" t="str">
        <x:f>IF(OR(B183="",COUNT(F183:H183)&lt;3),"",IF(L183="Cancelada",0,MAX(F183-H183,0)))</x:f>
      </x:c>
      <x:c r="P183" s="59" t="str">
        <x:f>IF(COUNT(O183)=0,"",O183*G183)</x:f>
      </x:c>
      <x:c r="Q183" s="46" t="str">
        <x:f>IF(B183="","",IF(L183="Cancelada","Cancelada",IF(COUNT(H183)=0,"Sin recibir",IF(H183=0,"Sin recibir",IF(H183&lt;F183,"Parcial",IF(H183=F183,"Completa","Recepción excedida"))))))</x:f>
      </x:c>
    </x:row>
    <x:row r="184">
      <x:c r="A184" s="44"/>
      <x:c r="B184" s="44"/>
      <x:c r="C184" s="44"/>
      <x:c r="D184" s="44"/>
      <x:c r="E184" s="44"/>
      <x:c r="F184" s="53"/>
      <x:c r="G184" s="53"/>
      <x:c r="H184" s="53"/>
      <x:c r="I184" s="51"/>
      <x:c r="J184" s="44"/>
      <x:c r="K184" s="44"/>
      <x:c r="L184" s="46" t="str">
        <x:f>IF(B184="","",IFERROR(INDEX('ÓRDENES-DE-COMPRA'!$H$11:$H$110,MATCH(B184,'ÓRDENES-DE-COMPRA'!$A$11:$A$110,0)),""))</x:f>
      </x:c>
      <x:c r="M184" s="59" t="str">
        <x:f>IF(OR(B184="",COUNT(F184:G184)&lt;2),"",F184*G184)</x:f>
      </x:c>
      <x:c r="N184" s="59" t="str">
        <x:f>IF(OR(B184="",COUNT(F184:H184)&lt;3),"",IF(L184="Cancelada",0,MIN(F184,H184)*G184))</x:f>
      </x:c>
      <x:c r="O184" s="59" t="str">
        <x:f>IF(OR(B184="",COUNT(F184:H184)&lt;3),"",IF(L184="Cancelada",0,MAX(F184-H184,0)))</x:f>
      </x:c>
      <x:c r="P184" s="59" t="str">
        <x:f>IF(COUNT(O184)=0,"",O184*G184)</x:f>
      </x:c>
      <x:c r="Q184" s="46" t="str">
        <x:f>IF(B184="","",IF(L184="Cancelada","Cancelada",IF(COUNT(H184)=0,"Sin recibir",IF(H184=0,"Sin recibir",IF(H184&lt;F184,"Parcial",IF(H184=F184,"Completa","Recepción excedida"))))))</x:f>
      </x:c>
    </x:row>
    <x:row r="185">
      <x:c r="A185" s="44"/>
      <x:c r="B185" s="44"/>
      <x:c r="C185" s="44"/>
      <x:c r="D185" s="44"/>
      <x:c r="E185" s="44"/>
      <x:c r="F185" s="53"/>
      <x:c r="G185" s="53"/>
      <x:c r="H185" s="53"/>
      <x:c r="I185" s="51"/>
      <x:c r="J185" s="44"/>
      <x:c r="K185" s="44"/>
      <x:c r="L185" s="46" t="str">
        <x:f>IF(B185="","",IFERROR(INDEX('ÓRDENES-DE-COMPRA'!$H$11:$H$110,MATCH(B185,'ÓRDENES-DE-COMPRA'!$A$11:$A$110,0)),""))</x:f>
      </x:c>
      <x:c r="M185" s="59" t="str">
        <x:f>IF(OR(B185="",COUNT(F185:G185)&lt;2),"",F185*G185)</x:f>
      </x:c>
      <x:c r="N185" s="59" t="str">
        <x:f>IF(OR(B185="",COUNT(F185:H185)&lt;3),"",IF(L185="Cancelada",0,MIN(F185,H185)*G185))</x:f>
      </x:c>
      <x:c r="O185" s="59" t="str">
        <x:f>IF(OR(B185="",COUNT(F185:H185)&lt;3),"",IF(L185="Cancelada",0,MAX(F185-H185,0)))</x:f>
      </x:c>
      <x:c r="P185" s="59" t="str">
        <x:f>IF(COUNT(O185)=0,"",O185*G185)</x:f>
      </x:c>
      <x:c r="Q185" s="46" t="str">
        <x:f>IF(B185="","",IF(L185="Cancelada","Cancelada",IF(COUNT(H185)=0,"Sin recibir",IF(H185=0,"Sin recibir",IF(H185&lt;F185,"Parcial",IF(H185=F185,"Completa","Recepción excedida"))))))</x:f>
      </x:c>
    </x:row>
    <x:row r="186">
      <x:c r="A186" s="44"/>
      <x:c r="B186" s="44"/>
      <x:c r="C186" s="44"/>
      <x:c r="D186" s="44"/>
      <x:c r="E186" s="44"/>
      <x:c r="F186" s="53"/>
      <x:c r="G186" s="53"/>
      <x:c r="H186" s="53"/>
      <x:c r="I186" s="51"/>
      <x:c r="J186" s="44"/>
      <x:c r="K186" s="44"/>
      <x:c r="L186" s="46" t="str">
        <x:f>IF(B186="","",IFERROR(INDEX('ÓRDENES-DE-COMPRA'!$H$11:$H$110,MATCH(B186,'ÓRDENES-DE-COMPRA'!$A$11:$A$110,0)),""))</x:f>
      </x:c>
      <x:c r="M186" s="59" t="str">
        <x:f>IF(OR(B186="",COUNT(F186:G186)&lt;2),"",F186*G186)</x:f>
      </x:c>
      <x:c r="N186" s="59" t="str">
        <x:f>IF(OR(B186="",COUNT(F186:H186)&lt;3),"",IF(L186="Cancelada",0,MIN(F186,H186)*G186))</x:f>
      </x:c>
      <x:c r="O186" s="59" t="str">
        <x:f>IF(OR(B186="",COUNT(F186:H186)&lt;3),"",IF(L186="Cancelada",0,MAX(F186-H186,0)))</x:f>
      </x:c>
      <x:c r="P186" s="59" t="str">
        <x:f>IF(COUNT(O186)=0,"",O186*G186)</x:f>
      </x:c>
      <x:c r="Q186" s="46" t="str">
        <x:f>IF(B186="","",IF(L186="Cancelada","Cancelada",IF(COUNT(H186)=0,"Sin recibir",IF(H186=0,"Sin recibir",IF(H186&lt;F186,"Parcial",IF(H186=F186,"Completa","Recepción excedida"))))))</x:f>
      </x:c>
    </x:row>
    <x:row r="187">
      <x:c r="A187" s="44"/>
      <x:c r="B187" s="44"/>
      <x:c r="C187" s="44"/>
      <x:c r="D187" s="44"/>
      <x:c r="E187" s="44"/>
      <x:c r="F187" s="53"/>
      <x:c r="G187" s="53"/>
      <x:c r="H187" s="53"/>
      <x:c r="I187" s="51"/>
      <x:c r="J187" s="44"/>
      <x:c r="K187" s="44"/>
      <x:c r="L187" s="46" t="str">
        <x:f>IF(B187="","",IFERROR(INDEX('ÓRDENES-DE-COMPRA'!$H$11:$H$110,MATCH(B187,'ÓRDENES-DE-COMPRA'!$A$11:$A$110,0)),""))</x:f>
      </x:c>
      <x:c r="M187" s="59" t="str">
        <x:f>IF(OR(B187="",COUNT(F187:G187)&lt;2),"",F187*G187)</x:f>
      </x:c>
      <x:c r="N187" s="59" t="str">
        <x:f>IF(OR(B187="",COUNT(F187:H187)&lt;3),"",IF(L187="Cancelada",0,MIN(F187,H187)*G187))</x:f>
      </x:c>
      <x:c r="O187" s="59" t="str">
        <x:f>IF(OR(B187="",COUNT(F187:H187)&lt;3),"",IF(L187="Cancelada",0,MAX(F187-H187,0)))</x:f>
      </x:c>
      <x:c r="P187" s="59" t="str">
        <x:f>IF(COUNT(O187)=0,"",O187*G187)</x:f>
      </x:c>
      <x:c r="Q187" s="46" t="str">
        <x:f>IF(B187="","",IF(L187="Cancelada","Cancelada",IF(COUNT(H187)=0,"Sin recibir",IF(H187=0,"Sin recibir",IF(H187&lt;F187,"Parcial",IF(H187=F187,"Completa","Recepción excedida"))))))</x:f>
      </x:c>
    </x:row>
    <x:row r="188">
      <x:c r="A188" s="44"/>
      <x:c r="B188" s="44"/>
      <x:c r="C188" s="44"/>
      <x:c r="D188" s="44"/>
      <x:c r="E188" s="44"/>
      <x:c r="F188" s="53"/>
      <x:c r="G188" s="53"/>
      <x:c r="H188" s="53"/>
      <x:c r="I188" s="51"/>
      <x:c r="J188" s="44"/>
      <x:c r="K188" s="44"/>
      <x:c r="L188" s="46" t="str">
        <x:f>IF(B188="","",IFERROR(INDEX('ÓRDENES-DE-COMPRA'!$H$11:$H$110,MATCH(B188,'ÓRDENES-DE-COMPRA'!$A$11:$A$110,0)),""))</x:f>
      </x:c>
      <x:c r="M188" s="59" t="str">
        <x:f>IF(OR(B188="",COUNT(F188:G188)&lt;2),"",F188*G188)</x:f>
      </x:c>
      <x:c r="N188" s="59" t="str">
        <x:f>IF(OR(B188="",COUNT(F188:H188)&lt;3),"",IF(L188="Cancelada",0,MIN(F188,H188)*G188))</x:f>
      </x:c>
      <x:c r="O188" s="59" t="str">
        <x:f>IF(OR(B188="",COUNT(F188:H188)&lt;3),"",IF(L188="Cancelada",0,MAX(F188-H188,0)))</x:f>
      </x:c>
      <x:c r="P188" s="59" t="str">
        <x:f>IF(COUNT(O188)=0,"",O188*G188)</x:f>
      </x:c>
      <x:c r="Q188" s="46" t="str">
        <x:f>IF(B188="","",IF(L188="Cancelada","Cancelada",IF(COUNT(H188)=0,"Sin recibir",IF(H188=0,"Sin recibir",IF(H188&lt;F188,"Parcial",IF(H188=F188,"Completa","Recepción excedida"))))))</x:f>
      </x:c>
    </x:row>
    <x:row r="189">
      <x:c r="A189" s="44"/>
      <x:c r="B189" s="44"/>
      <x:c r="C189" s="44"/>
      <x:c r="D189" s="44"/>
      <x:c r="E189" s="44"/>
      <x:c r="F189" s="53"/>
      <x:c r="G189" s="53"/>
      <x:c r="H189" s="53"/>
      <x:c r="I189" s="51"/>
      <x:c r="J189" s="44"/>
      <x:c r="K189" s="44"/>
      <x:c r="L189" s="46" t="str">
        <x:f>IF(B189="","",IFERROR(INDEX('ÓRDENES-DE-COMPRA'!$H$11:$H$110,MATCH(B189,'ÓRDENES-DE-COMPRA'!$A$11:$A$110,0)),""))</x:f>
      </x:c>
      <x:c r="M189" s="59" t="str">
        <x:f>IF(OR(B189="",COUNT(F189:G189)&lt;2),"",F189*G189)</x:f>
      </x:c>
      <x:c r="N189" s="59" t="str">
        <x:f>IF(OR(B189="",COUNT(F189:H189)&lt;3),"",IF(L189="Cancelada",0,MIN(F189,H189)*G189))</x:f>
      </x:c>
      <x:c r="O189" s="59" t="str">
        <x:f>IF(OR(B189="",COUNT(F189:H189)&lt;3),"",IF(L189="Cancelada",0,MAX(F189-H189,0)))</x:f>
      </x:c>
      <x:c r="P189" s="59" t="str">
        <x:f>IF(COUNT(O189)=0,"",O189*G189)</x:f>
      </x:c>
      <x:c r="Q189" s="46" t="str">
        <x:f>IF(B189="","",IF(L189="Cancelada","Cancelada",IF(COUNT(H189)=0,"Sin recibir",IF(H189=0,"Sin recibir",IF(H189&lt;F189,"Parcial",IF(H189=F189,"Completa","Recepción excedida"))))))</x:f>
      </x:c>
    </x:row>
    <x:row r="190">
      <x:c r="A190" s="44"/>
      <x:c r="B190" s="44"/>
      <x:c r="C190" s="44"/>
      <x:c r="D190" s="44"/>
      <x:c r="E190" s="44"/>
      <x:c r="F190" s="53"/>
      <x:c r="G190" s="53"/>
      <x:c r="H190" s="53"/>
      <x:c r="I190" s="51"/>
      <x:c r="J190" s="44"/>
      <x:c r="K190" s="44"/>
      <x:c r="L190" s="46" t="str">
        <x:f>IF(B190="","",IFERROR(INDEX('ÓRDENES-DE-COMPRA'!$H$11:$H$110,MATCH(B190,'ÓRDENES-DE-COMPRA'!$A$11:$A$110,0)),""))</x:f>
      </x:c>
      <x:c r="M190" s="59" t="str">
        <x:f>IF(OR(B190="",COUNT(F190:G190)&lt;2),"",F190*G190)</x:f>
      </x:c>
      <x:c r="N190" s="59" t="str">
        <x:f>IF(OR(B190="",COUNT(F190:H190)&lt;3),"",IF(L190="Cancelada",0,MIN(F190,H190)*G190))</x:f>
      </x:c>
      <x:c r="O190" s="59" t="str">
        <x:f>IF(OR(B190="",COUNT(F190:H190)&lt;3),"",IF(L190="Cancelada",0,MAX(F190-H190,0)))</x:f>
      </x:c>
      <x:c r="P190" s="59" t="str">
        <x:f>IF(COUNT(O190)=0,"",O190*G190)</x:f>
      </x:c>
      <x:c r="Q190" s="46" t="str">
        <x:f>IF(B190="","",IF(L190="Cancelada","Cancelada",IF(COUNT(H190)=0,"Sin recibir",IF(H190=0,"Sin recibir",IF(H190&lt;F190,"Parcial",IF(H190=F190,"Completa","Recepción excedida"))))))</x:f>
      </x:c>
    </x:row>
    <x:row r="191">
      <x:c r="A191" s="44"/>
      <x:c r="B191" s="44"/>
      <x:c r="C191" s="44"/>
      <x:c r="D191" s="44"/>
      <x:c r="E191" s="44"/>
      <x:c r="F191" s="53"/>
      <x:c r="G191" s="53"/>
      <x:c r="H191" s="53"/>
      <x:c r="I191" s="51"/>
      <x:c r="J191" s="44"/>
      <x:c r="K191" s="44"/>
      <x:c r="L191" s="46" t="str">
        <x:f>IF(B191="","",IFERROR(INDEX('ÓRDENES-DE-COMPRA'!$H$11:$H$110,MATCH(B191,'ÓRDENES-DE-COMPRA'!$A$11:$A$110,0)),""))</x:f>
      </x:c>
      <x:c r="M191" s="59" t="str">
        <x:f>IF(OR(B191="",COUNT(F191:G191)&lt;2),"",F191*G191)</x:f>
      </x:c>
      <x:c r="N191" s="59" t="str">
        <x:f>IF(OR(B191="",COUNT(F191:H191)&lt;3),"",IF(L191="Cancelada",0,MIN(F191,H191)*G191))</x:f>
      </x:c>
      <x:c r="O191" s="59" t="str">
        <x:f>IF(OR(B191="",COUNT(F191:H191)&lt;3),"",IF(L191="Cancelada",0,MAX(F191-H191,0)))</x:f>
      </x:c>
      <x:c r="P191" s="59" t="str">
        <x:f>IF(COUNT(O191)=0,"",O191*G191)</x:f>
      </x:c>
      <x:c r="Q191" s="46" t="str">
        <x:f>IF(B191="","",IF(L191="Cancelada","Cancelada",IF(COUNT(H191)=0,"Sin recibir",IF(H191=0,"Sin recibir",IF(H191&lt;F191,"Parcial",IF(H191=F191,"Completa","Recepción excedida"))))))</x:f>
      </x:c>
    </x:row>
    <x:row r="192">
      <x:c r="A192" s="44"/>
      <x:c r="B192" s="44"/>
      <x:c r="C192" s="44"/>
      <x:c r="D192" s="44"/>
      <x:c r="E192" s="44"/>
      <x:c r="F192" s="53"/>
      <x:c r="G192" s="53"/>
      <x:c r="H192" s="53"/>
      <x:c r="I192" s="51"/>
      <x:c r="J192" s="44"/>
      <x:c r="K192" s="44"/>
      <x:c r="L192" s="46" t="str">
        <x:f>IF(B192="","",IFERROR(INDEX('ÓRDENES-DE-COMPRA'!$H$11:$H$110,MATCH(B192,'ÓRDENES-DE-COMPRA'!$A$11:$A$110,0)),""))</x:f>
      </x:c>
      <x:c r="M192" s="59" t="str">
        <x:f>IF(OR(B192="",COUNT(F192:G192)&lt;2),"",F192*G192)</x:f>
      </x:c>
      <x:c r="N192" s="59" t="str">
        <x:f>IF(OR(B192="",COUNT(F192:H192)&lt;3),"",IF(L192="Cancelada",0,MIN(F192,H192)*G192))</x:f>
      </x:c>
      <x:c r="O192" s="59" t="str">
        <x:f>IF(OR(B192="",COUNT(F192:H192)&lt;3),"",IF(L192="Cancelada",0,MAX(F192-H192,0)))</x:f>
      </x:c>
      <x:c r="P192" s="59" t="str">
        <x:f>IF(COUNT(O192)=0,"",O192*G192)</x:f>
      </x:c>
      <x:c r="Q192" s="46" t="str">
        <x:f>IF(B192="","",IF(L192="Cancelada","Cancelada",IF(COUNT(H192)=0,"Sin recibir",IF(H192=0,"Sin recibir",IF(H192&lt;F192,"Parcial",IF(H192=F192,"Completa","Recepción excedida"))))))</x:f>
      </x:c>
    </x:row>
    <x:row r="193">
      <x:c r="A193" s="44"/>
      <x:c r="B193" s="44"/>
      <x:c r="C193" s="44"/>
      <x:c r="D193" s="44"/>
      <x:c r="E193" s="44"/>
      <x:c r="F193" s="53"/>
      <x:c r="G193" s="53"/>
      <x:c r="H193" s="53"/>
      <x:c r="I193" s="51"/>
      <x:c r="J193" s="44"/>
      <x:c r="K193" s="44"/>
      <x:c r="L193" s="46" t="str">
        <x:f>IF(B193="","",IFERROR(INDEX('ÓRDENES-DE-COMPRA'!$H$11:$H$110,MATCH(B193,'ÓRDENES-DE-COMPRA'!$A$11:$A$110,0)),""))</x:f>
      </x:c>
      <x:c r="M193" s="59" t="str">
        <x:f>IF(OR(B193="",COUNT(F193:G193)&lt;2),"",F193*G193)</x:f>
      </x:c>
      <x:c r="N193" s="59" t="str">
        <x:f>IF(OR(B193="",COUNT(F193:H193)&lt;3),"",IF(L193="Cancelada",0,MIN(F193,H193)*G193))</x:f>
      </x:c>
      <x:c r="O193" s="59" t="str">
        <x:f>IF(OR(B193="",COUNT(F193:H193)&lt;3),"",IF(L193="Cancelada",0,MAX(F193-H193,0)))</x:f>
      </x:c>
      <x:c r="P193" s="59" t="str">
        <x:f>IF(COUNT(O193)=0,"",O193*G193)</x:f>
      </x:c>
      <x:c r="Q193" s="46" t="str">
        <x:f>IF(B193="","",IF(L193="Cancelada","Cancelada",IF(COUNT(H193)=0,"Sin recibir",IF(H193=0,"Sin recibir",IF(H193&lt;F193,"Parcial",IF(H193=F193,"Completa","Recepción excedida"))))))</x:f>
      </x:c>
    </x:row>
    <x:row r="194">
      <x:c r="A194" s="44"/>
      <x:c r="B194" s="44"/>
      <x:c r="C194" s="44"/>
      <x:c r="D194" s="44"/>
      <x:c r="E194" s="44"/>
      <x:c r="F194" s="53"/>
      <x:c r="G194" s="53"/>
      <x:c r="H194" s="53"/>
      <x:c r="I194" s="51"/>
      <x:c r="J194" s="44"/>
      <x:c r="K194" s="44"/>
      <x:c r="L194" s="46" t="str">
        <x:f>IF(B194="","",IFERROR(INDEX('ÓRDENES-DE-COMPRA'!$H$11:$H$110,MATCH(B194,'ÓRDENES-DE-COMPRA'!$A$11:$A$110,0)),""))</x:f>
      </x:c>
      <x:c r="M194" s="59" t="str">
        <x:f>IF(OR(B194="",COUNT(F194:G194)&lt;2),"",F194*G194)</x:f>
      </x:c>
      <x:c r="N194" s="59" t="str">
        <x:f>IF(OR(B194="",COUNT(F194:H194)&lt;3),"",IF(L194="Cancelada",0,MIN(F194,H194)*G194))</x:f>
      </x:c>
      <x:c r="O194" s="59" t="str">
        <x:f>IF(OR(B194="",COUNT(F194:H194)&lt;3),"",IF(L194="Cancelada",0,MAX(F194-H194,0)))</x:f>
      </x:c>
      <x:c r="P194" s="59" t="str">
        <x:f>IF(COUNT(O194)=0,"",O194*G194)</x:f>
      </x:c>
      <x:c r="Q194" s="46" t="str">
        <x:f>IF(B194="","",IF(L194="Cancelada","Cancelada",IF(COUNT(H194)=0,"Sin recibir",IF(H194=0,"Sin recibir",IF(H194&lt;F194,"Parcial",IF(H194=F194,"Completa","Recepción excedida"))))))</x:f>
      </x:c>
    </x:row>
    <x:row r="195">
      <x:c r="A195" s="44"/>
      <x:c r="B195" s="44"/>
      <x:c r="C195" s="44"/>
      <x:c r="D195" s="44"/>
      <x:c r="E195" s="44"/>
      <x:c r="F195" s="53"/>
      <x:c r="G195" s="53"/>
      <x:c r="H195" s="53"/>
      <x:c r="I195" s="51"/>
      <x:c r="J195" s="44"/>
      <x:c r="K195" s="44"/>
      <x:c r="L195" s="46" t="str">
        <x:f>IF(B195="","",IFERROR(INDEX('ÓRDENES-DE-COMPRA'!$H$11:$H$110,MATCH(B195,'ÓRDENES-DE-COMPRA'!$A$11:$A$110,0)),""))</x:f>
      </x:c>
      <x:c r="M195" s="59" t="str">
        <x:f>IF(OR(B195="",COUNT(F195:G195)&lt;2),"",F195*G195)</x:f>
      </x:c>
      <x:c r="N195" s="59" t="str">
        <x:f>IF(OR(B195="",COUNT(F195:H195)&lt;3),"",IF(L195="Cancelada",0,MIN(F195,H195)*G195))</x:f>
      </x:c>
      <x:c r="O195" s="59" t="str">
        <x:f>IF(OR(B195="",COUNT(F195:H195)&lt;3),"",IF(L195="Cancelada",0,MAX(F195-H195,0)))</x:f>
      </x:c>
      <x:c r="P195" s="59" t="str">
        <x:f>IF(COUNT(O195)=0,"",O195*G195)</x:f>
      </x:c>
      <x:c r="Q195" s="46" t="str">
        <x:f>IF(B195="","",IF(L195="Cancelada","Cancelada",IF(COUNT(H195)=0,"Sin recibir",IF(H195=0,"Sin recibir",IF(H195&lt;F195,"Parcial",IF(H195=F195,"Completa","Recepción excedida"))))))</x:f>
      </x:c>
    </x:row>
    <x:row r="196">
      <x:c r="A196" s="44"/>
      <x:c r="B196" s="44"/>
      <x:c r="C196" s="44"/>
      <x:c r="D196" s="44"/>
      <x:c r="E196" s="44"/>
      <x:c r="F196" s="53"/>
      <x:c r="G196" s="53"/>
      <x:c r="H196" s="53"/>
      <x:c r="I196" s="51"/>
      <x:c r="J196" s="44"/>
      <x:c r="K196" s="44"/>
      <x:c r="L196" s="46" t="str">
        <x:f>IF(B196="","",IFERROR(INDEX('ÓRDENES-DE-COMPRA'!$H$11:$H$110,MATCH(B196,'ÓRDENES-DE-COMPRA'!$A$11:$A$110,0)),""))</x:f>
      </x:c>
      <x:c r="M196" s="59" t="str">
        <x:f>IF(OR(B196="",COUNT(F196:G196)&lt;2),"",F196*G196)</x:f>
      </x:c>
      <x:c r="N196" s="59" t="str">
        <x:f>IF(OR(B196="",COUNT(F196:H196)&lt;3),"",IF(L196="Cancelada",0,MIN(F196,H196)*G196))</x:f>
      </x:c>
      <x:c r="O196" s="59" t="str">
        <x:f>IF(OR(B196="",COUNT(F196:H196)&lt;3),"",IF(L196="Cancelada",0,MAX(F196-H196,0)))</x:f>
      </x:c>
      <x:c r="P196" s="59" t="str">
        <x:f>IF(COUNT(O196)=0,"",O196*G196)</x:f>
      </x:c>
      <x:c r="Q196" s="46" t="str">
        <x:f>IF(B196="","",IF(L196="Cancelada","Cancelada",IF(COUNT(H196)=0,"Sin recibir",IF(H196=0,"Sin recibir",IF(H196&lt;F196,"Parcial",IF(H196=F196,"Completa","Recepción excedida"))))))</x:f>
      </x:c>
    </x:row>
    <x:row r="197">
      <x:c r="A197" s="44"/>
      <x:c r="B197" s="44"/>
      <x:c r="C197" s="44"/>
      <x:c r="D197" s="44"/>
      <x:c r="E197" s="44"/>
      <x:c r="F197" s="53"/>
      <x:c r="G197" s="53"/>
      <x:c r="H197" s="53"/>
      <x:c r="I197" s="51"/>
      <x:c r="J197" s="44"/>
      <x:c r="K197" s="44"/>
      <x:c r="L197" s="46" t="str">
        <x:f>IF(B197="","",IFERROR(INDEX('ÓRDENES-DE-COMPRA'!$H$11:$H$110,MATCH(B197,'ÓRDENES-DE-COMPRA'!$A$11:$A$110,0)),""))</x:f>
      </x:c>
      <x:c r="M197" s="59" t="str">
        <x:f>IF(OR(B197="",COUNT(F197:G197)&lt;2),"",F197*G197)</x:f>
      </x:c>
      <x:c r="N197" s="59" t="str">
        <x:f>IF(OR(B197="",COUNT(F197:H197)&lt;3),"",IF(L197="Cancelada",0,MIN(F197,H197)*G197))</x:f>
      </x:c>
      <x:c r="O197" s="59" t="str">
        <x:f>IF(OR(B197="",COUNT(F197:H197)&lt;3),"",IF(L197="Cancelada",0,MAX(F197-H197,0)))</x:f>
      </x:c>
      <x:c r="P197" s="59" t="str">
        <x:f>IF(COUNT(O197)=0,"",O197*G197)</x:f>
      </x:c>
      <x:c r="Q197" s="46" t="str">
        <x:f>IF(B197="","",IF(L197="Cancelada","Cancelada",IF(COUNT(H197)=0,"Sin recibir",IF(H197=0,"Sin recibir",IF(H197&lt;F197,"Parcial",IF(H197=F197,"Completa","Recepción excedida"))))))</x:f>
      </x:c>
    </x:row>
    <x:row r="198">
      <x:c r="A198" s="44"/>
      <x:c r="B198" s="44"/>
      <x:c r="C198" s="44"/>
      <x:c r="D198" s="44"/>
      <x:c r="E198" s="44"/>
      <x:c r="F198" s="53"/>
      <x:c r="G198" s="53"/>
      <x:c r="H198" s="53"/>
      <x:c r="I198" s="51"/>
      <x:c r="J198" s="44"/>
      <x:c r="K198" s="44"/>
      <x:c r="L198" s="46" t="str">
        <x:f>IF(B198="","",IFERROR(INDEX('ÓRDENES-DE-COMPRA'!$H$11:$H$110,MATCH(B198,'ÓRDENES-DE-COMPRA'!$A$11:$A$110,0)),""))</x:f>
      </x:c>
      <x:c r="M198" s="59" t="str">
        <x:f>IF(OR(B198="",COUNT(F198:G198)&lt;2),"",F198*G198)</x:f>
      </x:c>
      <x:c r="N198" s="59" t="str">
        <x:f>IF(OR(B198="",COUNT(F198:H198)&lt;3),"",IF(L198="Cancelada",0,MIN(F198,H198)*G198))</x:f>
      </x:c>
      <x:c r="O198" s="59" t="str">
        <x:f>IF(OR(B198="",COUNT(F198:H198)&lt;3),"",IF(L198="Cancelada",0,MAX(F198-H198,0)))</x:f>
      </x:c>
      <x:c r="P198" s="59" t="str">
        <x:f>IF(COUNT(O198)=0,"",O198*G198)</x:f>
      </x:c>
      <x:c r="Q198" s="46" t="str">
        <x:f>IF(B198="","",IF(L198="Cancelada","Cancelada",IF(COUNT(H198)=0,"Sin recibir",IF(H198=0,"Sin recibir",IF(H198&lt;F198,"Parcial",IF(H198=F198,"Completa","Recepción excedida"))))))</x:f>
      </x:c>
    </x:row>
    <x:row r="199">
      <x:c r="A199" s="44"/>
      <x:c r="B199" s="44"/>
      <x:c r="C199" s="44"/>
      <x:c r="D199" s="44"/>
      <x:c r="E199" s="44"/>
      <x:c r="F199" s="53"/>
      <x:c r="G199" s="53"/>
      <x:c r="H199" s="53"/>
      <x:c r="I199" s="51"/>
      <x:c r="J199" s="44"/>
      <x:c r="K199" s="44"/>
      <x:c r="L199" s="46" t="str">
        <x:f>IF(B199="","",IFERROR(INDEX('ÓRDENES-DE-COMPRA'!$H$11:$H$110,MATCH(B199,'ÓRDENES-DE-COMPRA'!$A$11:$A$110,0)),""))</x:f>
      </x:c>
      <x:c r="M199" s="59" t="str">
        <x:f>IF(OR(B199="",COUNT(F199:G199)&lt;2),"",F199*G199)</x:f>
      </x:c>
      <x:c r="N199" s="59" t="str">
        <x:f>IF(OR(B199="",COUNT(F199:H199)&lt;3),"",IF(L199="Cancelada",0,MIN(F199,H199)*G199))</x:f>
      </x:c>
      <x:c r="O199" s="59" t="str">
        <x:f>IF(OR(B199="",COUNT(F199:H199)&lt;3),"",IF(L199="Cancelada",0,MAX(F199-H199,0)))</x:f>
      </x:c>
      <x:c r="P199" s="59" t="str">
        <x:f>IF(COUNT(O199)=0,"",O199*G199)</x:f>
      </x:c>
      <x:c r="Q199" s="46" t="str">
        <x:f>IF(B199="","",IF(L199="Cancelada","Cancelada",IF(COUNT(H199)=0,"Sin recibir",IF(H199=0,"Sin recibir",IF(H199&lt;F199,"Parcial",IF(H199=F199,"Completa","Recepción excedida"))))))</x:f>
      </x:c>
    </x:row>
    <x:row r="200">
      <x:c r="A200" s="44"/>
      <x:c r="B200" s="44"/>
      <x:c r="C200" s="44"/>
      <x:c r="D200" s="44"/>
      <x:c r="E200" s="44"/>
      <x:c r="F200" s="53"/>
      <x:c r="G200" s="53"/>
      <x:c r="H200" s="53"/>
      <x:c r="I200" s="51"/>
      <x:c r="J200" s="44"/>
      <x:c r="K200" s="44"/>
      <x:c r="L200" s="46" t="str">
        <x:f>IF(B200="","",IFERROR(INDEX('ÓRDENES-DE-COMPRA'!$H$11:$H$110,MATCH(B200,'ÓRDENES-DE-COMPRA'!$A$11:$A$110,0)),""))</x:f>
      </x:c>
      <x:c r="M200" s="59" t="str">
        <x:f>IF(OR(B200="",COUNT(F200:G200)&lt;2),"",F200*G200)</x:f>
      </x:c>
      <x:c r="N200" s="59" t="str">
        <x:f>IF(OR(B200="",COUNT(F200:H200)&lt;3),"",IF(L200="Cancelada",0,MIN(F200,H200)*G200))</x:f>
      </x:c>
      <x:c r="O200" s="59" t="str">
        <x:f>IF(OR(B200="",COUNT(F200:H200)&lt;3),"",IF(L200="Cancelada",0,MAX(F200-H200,0)))</x:f>
      </x:c>
      <x:c r="P200" s="59" t="str">
        <x:f>IF(COUNT(O200)=0,"",O200*G200)</x:f>
      </x:c>
      <x:c r="Q200" s="46" t="str">
        <x:f>IF(B200="","",IF(L200="Cancelada","Cancelada",IF(COUNT(H200)=0,"Sin recibir",IF(H200=0,"Sin recibir",IF(H200&lt;F200,"Parcial",IF(H200=F200,"Completa","Recepción excedida"))))))</x:f>
      </x:c>
    </x:row>
    <x:row r="201">
      <x:c r="A201" s="44"/>
      <x:c r="B201" s="44"/>
      <x:c r="C201" s="44"/>
      <x:c r="D201" s="44"/>
      <x:c r="E201" s="44"/>
      <x:c r="F201" s="53"/>
      <x:c r="G201" s="53"/>
      <x:c r="H201" s="53"/>
      <x:c r="I201" s="51"/>
      <x:c r="J201" s="44"/>
      <x:c r="K201" s="44"/>
      <x:c r="L201" s="46" t="str">
        <x:f>IF(B201="","",IFERROR(INDEX('ÓRDENES-DE-COMPRA'!$H$11:$H$110,MATCH(B201,'ÓRDENES-DE-COMPRA'!$A$11:$A$110,0)),""))</x:f>
      </x:c>
      <x:c r="M201" s="59" t="str">
        <x:f>IF(OR(B201="",COUNT(F201:G201)&lt;2),"",F201*G201)</x:f>
      </x:c>
      <x:c r="N201" s="59" t="str">
        <x:f>IF(OR(B201="",COUNT(F201:H201)&lt;3),"",IF(L201="Cancelada",0,MIN(F201,H201)*G201))</x:f>
      </x:c>
      <x:c r="O201" s="59" t="str">
        <x:f>IF(OR(B201="",COUNT(F201:H201)&lt;3),"",IF(L201="Cancelada",0,MAX(F201-H201,0)))</x:f>
      </x:c>
      <x:c r="P201" s="59" t="str">
        <x:f>IF(COUNT(O201)=0,"",O201*G201)</x:f>
      </x:c>
      <x:c r="Q201" s="46" t="str">
        <x:f>IF(B201="","",IF(L201="Cancelada","Cancelada",IF(COUNT(H201)=0,"Sin recibir",IF(H201=0,"Sin recibir",IF(H201&lt;F201,"Parcial",IF(H201=F201,"Completa","Recepción excedida"))))))</x:f>
      </x:c>
    </x:row>
    <x:row r="202">
      <x:c r="A202" s="44"/>
      <x:c r="B202" s="44"/>
      <x:c r="C202" s="44"/>
      <x:c r="D202" s="44"/>
      <x:c r="E202" s="44"/>
      <x:c r="F202" s="53"/>
      <x:c r="G202" s="53"/>
      <x:c r="H202" s="53"/>
      <x:c r="I202" s="51"/>
      <x:c r="J202" s="44"/>
      <x:c r="K202" s="44"/>
      <x:c r="L202" s="46" t="str">
        <x:f>IF(B202="","",IFERROR(INDEX('ÓRDENES-DE-COMPRA'!$H$11:$H$110,MATCH(B202,'ÓRDENES-DE-COMPRA'!$A$11:$A$110,0)),""))</x:f>
      </x:c>
      <x:c r="M202" s="59" t="str">
        <x:f>IF(OR(B202="",COUNT(F202:G202)&lt;2),"",F202*G202)</x:f>
      </x:c>
      <x:c r="N202" s="59" t="str">
        <x:f>IF(OR(B202="",COUNT(F202:H202)&lt;3),"",IF(L202="Cancelada",0,MIN(F202,H202)*G202))</x:f>
      </x:c>
      <x:c r="O202" s="59" t="str">
        <x:f>IF(OR(B202="",COUNT(F202:H202)&lt;3),"",IF(L202="Cancelada",0,MAX(F202-H202,0)))</x:f>
      </x:c>
      <x:c r="P202" s="59" t="str">
        <x:f>IF(COUNT(O202)=0,"",O202*G202)</x:f>
      </x:c>
      <x:c r="Q202" s="46" t="str">
        <x:f>IF(B202="","",IF(L202="Cancelada","Cancelada",IF(COUNT(H202)=0,"Sin recibir",IF(H202=0,"Sin recibir",IF(H202&lt;F202,"Parcial",IF(H202=F202,"Completa","Recepción excedida"))))))</x:f>
      </x:c>
    </x:row>
    <x:row r="203">
      <x:c r="A203" s="44"/>
      <x:c r="B203" s="44"/>
      <x:c r="C203" s="44"/>
      <x:c r="D203" s="44"/>
      <x:c r="E203" s="44"/>
      <x:c r="F203" s="53"/>
      <x:c r="G203" s="53"/>
      <x:c r="H203" s="53"/>
      <x:c r="I203" s="51"/>
      <x:c r="J203" s="44"/>
      <x:c r="K203" s="44"/>
      <x:c r="L203" s="46" t="str">
        <x:f>IF(B203="","",IFERROR(INDEX('ÓRDENES-DE-COMPRA'!$H$11:$H$110,MATCH(B203,'ÓRDENES-DE-COMPRA'!$A$11:$A$110,0)),""))</x:f>
      </x:c>
      <x:c r="M203" s="59" t="str">
        <x:f>IF(OR(B203="",COUNT(F203:G203)&lt;2),"",F203*G203)</x:f>
      </x:c>
      <x:c r="N203" s="59" t="str">
        <x:f>IF(OR(B203="",COUNT(F203:H203)&lt;3),"",IF(L203="Cancelada",0,MIN(F203,H203)*G203))</x:f>
      </x:c>
      <x:c r="O203" s="59" t="str">
        <x:f>IF(OR(B203="",COUNT(F203:H203)&lt;3),"",IF(L203="Cancelada",0,MAX(F203-H203,0)))</x:f>
      </x:c>
      <x:c r="P203" s="59" t="str">
        <x:f>IF(COUNT(O203)=0,"",O203*G203)</x:f>
      </x:c>
      <x:c r="Q203" s="46" t="str">
        <x:f>IF(B203="","",IF(L203="Cancelada","Cancelada",IF(COUNT(H203)=0,"Sin recibir",IF(H203=0,"Sin recibir",IF(H203&lt;F203,"Parcial",IF(H203=F203,"Completa","Recepción excedida"))))))</x:f>
      </x:c>
    </x:row>
    <x:row r="204">
      <x:c r="A204" s="44"/>
      <x:c r="B204" s="44"/>
      <x:c r="C204" s="44"/>
      <x:c r="D204" s="44"/>
      <x:c r="E204" s="44"/>
      <x:c r="F204" s="53"/>
      <x:c r="G204" s="53"/>
      <x:c r="H204" s="53"/>
      <x:c r="I204" s="51"/>
      <x:c r="J204" s="44"/>
      <x:c r="K204" s="44"/>
      <x:c r="L204" s="46" t="str">
        <x:f>IF(B204="","",IFERROR(INDEX('ÓRDENES-DE-COMPRA'!$H$11:$H$110,MATCH(B204,'ÓRDENES-DE-COMPRA'!$A$11:$A$110,0)),""))</x:f>
      </x:c>
      <x:c r="M204" s="59" t="str">
        <x:f>IF(OR(B204="",COUNT(F204:G204)&lt;2),"",F204*G204)</x:f>
      </x:c>
      <x:c r="N204" s="59" t="str">
        <x:f>IF(OR(B204="",COUNT(F204:H204)&lt;3),"",IF(L204="Cancelada",0,MIN(F204,H204)*G204))</x:f>
      </x:c>
      <x:c r="O204" s="59" t="str">
        <x:f>IF(OR(B204="",COUNT(F204:H204)&lt;3),"",IF(L204="Cancelada",0,MAX(F204-H204,0)))</x:f>
      </x:c>
      <x:c r="P204" s="59" t="str">
        <x:f>IF(COUNT(O204)=0,"",O204*G204)</x:f>
      </x:c>
      <x:c r="Q204" s="46" t="str">
        <x:f>IF(B204="","",IF(L204="Cancelada","Cancelada",IF(COUNT(H204)=0,"Sin recibir",IF(H204=0,"Sin recibir",IF(H204&lt;F204,"Parcial",IF(H204=F204,"Completa","Recepción excedida"))))))</x:f>
      </x:c>
    </x:row>
    <x:row r="205">
      <x:c r="A205" s="44"/>
      <x:c r="B205" s="44"/>
      <x:c r="C205" s="44"/>
      <x:c r="D205" s="44"/>
      <x:c r="E205" s="44"/>
      <x:c r="F205" s="53"/>
      <x:c r="G205" s="53"/>
      <x:c r="H205" s="53"/>
      <x:c r="I205" s="51"/>
      <x:c r="J205" s="44"/>
      <x:c r="K205" s="44"/>
      <x:c r="L205" s="46" t="str">
        <x:f>IF(B205="","",IFERROR(INDEX('ÓRDENES-DE-COMPRA'!$H$11:$H$110,MATCH(B205,'ÓRDENES-DE-COMPRA'!$A$11:$A$110,0)),""))</x:f>
      </x:c>
      <x:c r="M205" s="59" t="str">
        <x:f>IF(OR(B205="",COUNT(F205:G205)&lt;2),"",F205*G205)</x:f>
      </x:c>
      <x:c r="N205" s="59" t="str">
        <x:f>IF(OR(B205="",COUNT(F205:H205)&lt;3),"",IF(L205="Cancelada",0,MIN(F205,H205)*G205))</x:f>
      </x:c>
      <x:c r="O205" s="59" t="str">
        <x:f>IF(OR(B205="",COUNT(F205:H205)&lt;3),"",IF(L205="Cancelada",0,MAX(F205-H205,0)))</x:f>
      </x:c>
      <x:c r="P205" s="59" t="str">
        <x:f>IF(COUNT(O205)=0,"",O205*G205)</x:f>
      </x:c>
      <x:c r="Q205" s="46" t="str">
        <x:f>IF(B205="","",IF(L205="Cancelada","Cancelada",IF(COUNT(H205)=0,"Sin recibir",IF(H205=0,"Sin recibir",IF(H205&lt;F205,"Parcial",IF(H205=F205,"Completa","Recepción excedida"))))))</x:f>
      </x:c>
    </x:row>
    <x:row r="206">
      <x:c r="A206" s="44"/>
      <x:c r="B206" s="44"/>
      <x:c r="C206" s="44"/>
      <x:c r="D206" s="44"/>
      <x:c r="E206" s="44"/>
      <x:c r="F206" s="53"/>
      <x:c r="G206" s="53"/>
      <x:c r="H206" s="53"/>
      <x:c r="I206" s="51"/>
      <x:c r="J206" s="44"/>
      <x:c r="K206" s="44"/>
      <x:c r="L206" s="46" t="str">
        <x:f>IF(B206="","",IFERROR(INDEX('ÓRDENES-DE-COMPRA'!$H$11:$H$110,MATCH(B206,'ÓRDENES-DE-COMPRA'!$A$11:$A$110,0)),""))</x:f>
      </x:c>
      <x:c r="M206" s="59" t="str">
        <x:f>IF(OR(B206="",COUNT(F206:G206)&lt;2),"",F206*G206)</x:f>
      </x:c>
      <x:c r="N206" s="59" t="str">
        <x:f>IF(OR(B206="",COUNT(F206:H206)&lt;3),"",IF(L206="Cancelada",0,MIN(F206,H206)*G206))</x:f>
      </x:c>
      <x:c r="O206" s="59" t="str">
        <x:f>IF(OR(B206="",COUNT(F206:H206)&lt;3),"",IF(L206="Cancelada",0,MAX(F206-H206,0)))</x:f>
      </x:c>
      <x:c r="P206" s="59" t="str">
        <x:f>IF(COUNT(O206)=0,"",O206*G206)</x:f>
      </x:c>
      <x:c r="Q206" s="46" t="str">
        <x:f>IF(B206="","",IF(L206="Cancelada","Cancelada",IF(COUNT(H206)=0,"Sin recibir",IF(H206=0,"Sin recibir",IF(H206&lt;F206,"Parcial",IF(H206=F206,"Completa","Recepción excedida"))))))</x:f>
      </x:c>
    </x:row>
    <x:row r="207">
      <x:c r="A207" s="44"/>
      <x:c r="B207" s="44"/>
      <x:c r="C207" s="44"/>
      <x:c r="D207" s="44"/>
      <x:c r="E207" s="44"/>
      <x:c r="F207" s="53"/>
      <x:c r="G207" s="53"/>
      <x:c r="H207" s="53"/>
      <x:c r="I207" s="51"/>
      <x:c r="J207" s="44"/>
      <x:c r="K207" s="44"/>
      <x:c r="L207" s="46" t="str">
        <x:f>IF(B207="","",IFERROR(INDEX('ÓRDENES-DE-COMPRA'!$H$11:$H$110,MATCH(B207,'ÓRDENES-DE-COMPRA'!$A$11:$A$110,0)),""))</x:f>
      </x:c>
      <x:c r="M207" s="59" t="str">
        <x:f>IF(OR(B207="",COUNT(F207:G207)&lt;2),"",F207*G207)</x:f>
      </x:c>
      <x:c r="N207" s="59" t="str">
        <x:f>IF(OR(B207="",COUNT(F207:H207)&lt;3),"",IF(L207="Cancelada",0,MIN(F207,H207)*G207))</x:f>
      </x:c>
      <x:c r="O207" s="59" t="str">
        <x:f>IF(OR(B207="",COUNT(F207:H207)&lt;3),"",IF(L207="Cancelada",0,MAX(F207-H207,0)))</x:f>
      </x:c>
      <x:c r="P207" s="59" t="str">
        <x:f>IF(COUNT(O207)=0,"",O207*G207)</x:f>
      </x:c>
      <x:c r="Q207" s="46" t="str">
        <x:f>IF(B207="","",IF(L207="Cancelada","Cancelada",IF(COUNT(H207)=0,"Sin recibir",IF(H207=0,"Sin recibir",IF(H207&lt;F207,"Parcial",IF(H207=F207,"Completa","Recepción excedida"))))))</x:f>
      </x:c>
    </x:row>
    <x:row r="208">
      <x:c r="A208" s="44"/>
      <x:c r="B208" s="44"/>
      <x:c r="C208" s="44"/>
      <x:c r="D208" s="44"/>
      <x:c r="E208" s="44"/>
      <x:c r="F208" s="53"/>
      <x:c r="G208" s="53"/>
      <x:c r="H208" s="53"/>
      <x:c r="I208" s="51"/>
      <x:c r="J208" s="44"/>
      <x:c r="K208" s="44"/>
      <x:c r="L208" s="46" t="str">
        <x:f>IF(B208="","",IFERROR(INDEX('ÓRDENES-DE-COMPRA'!$H$11:$H$110,MATCH(B208,'ÓRDENES-DE-COMPRA'!$A$11:$A$110,0)),""))</x:f>
      </x:c>
      <x:c r="M208" s="59" t="str">
        <x:f>IF(OR(B208="",COUNT(F208:G208)&lt;2),"",F208*G208)</x:f>
      </x:c>
      <x:c r="N208" s="59" t="str">
        <x:f>IF(OR(B208="",COUNT(F208:H208)&lt;3),"",IF(L208="Cancelada",0,MIN(F208,H208)*G208))</x:f>
      </x:c>
      <x:c r="O208" s="59" t="str">
        <x:f>IF(OR(B208="",COUNT(F208:H208)&lt;3),"",IF(L208="Cancelada",0,MAX(F208-H208,0)))</x:f>
      </x:c>
      <x:c r="P208" s="59" t="str">
        <x:f>IF(COUNT(O208)=0,"",O208*G208)</x:f>
      </x:c>
      <x:c r="Q208" s="46" t="str">
        <x:f>IF(B208="","",IF(L208="Cancelada","Cancelada",IF(COUNT(H208)=0,"Sin recibir",IF(H208=0,"Sin recibir",IF(H208&lt;F208,"Parcial",IF(H208=F208,"Completa","Recepción excedida"))))))</x:f>
      </x:c>
    </x:row>
    <x:row r="209">
      <x:c r="A209" s="44"/>
      <x:c r="B209" s="44"/>
      <x:c r="C209" s="44"/>
      <x:c r="D209" s="44"/>
      <x:c r="E209" s="44"/>
      <x:c r="F209" s="53"/>
      <x:c r="G209" s="53"/>
      <x:c r="H209" s="53"/>
      <x:c r="I209" s="51"/>
      <x:c r="J209" s="44"/>
      <x:c r="K209" s="44"/>
      <x:c r="L209" s="46" t="str">
        <x:f>IF(B209="","",IFERROR(INDEX('ÓRDENES-DE-COMPRA'!$H$11:$H$110,MATCH(B209,'ÓRDENES-DE-COMPRA'!$A$11:$A$110,0)),""))</x:f>
      </x:c>
      <x:c r="M209" s="59" t="str">
        <x:f>IF(OR(B209="",COUNT(F209:G209)&lt;2),"",F209*G209)</x:f>
      </x:c>
      <x:c r="N209" s="59" t="str">
        <x:f>IF(OR(B209="",COUNT(F209:H209)&lt;3),"",IF(L209="Cancelada",0,MIN(F209,H209)*G209))</x:f>
      </x:c>
      <x:c r="O209" s="59" t="str">
        <x:f>IF(OR(B209="",COUNT(F209:H209)&lt;3),"",IF(L209="Cancelada",0,MAX(F209-H209,0)))</x:f>
      </x:c>
      <x:c r="P209" s="59" t="str">
        <x:f>IF(COUNT(O209)=0,"",O209*G209)</x:f>
      </x:c>
      <x:c r="Q209" s="46" t="str">
        <x:f>IF(B209="","",IF(L209="Cancelada","Cancelada",IF(COUNT(H209)=0,"Sin recibir",IF(H209=0,"Sin recibir",IF(H209&lt;F209,"Parcial",IF(H209=F209,"Completa","Recepción excedida"))))))</x:f>
      </x:c>
    </x:row>
    <x:row r="210">
      <x:c r="A210" s="44"/>
      <x:c r="B210" s="44"/>
      <x:c r="C210" s="44"/>
      <x:c r="D210" s="44"/>
      <x:c r="E210" s="44"/>
      <x:c r="F210" s="53"/>
      <x:c r="G210" s="53"/>
      <x:c r="H210" s="53"/>
      <x:c r="I210" s="51"/>
      <x:c r="J210" s="44"/>
      <x:c r="K210" s="44"/>
      <x:c r="L210" s="46" t="str">
        <x:f>IF(B210="","",IFERROR(INDEX('ÓRDENES-DE-COMPRA'!$H$11:$H$110,MATCH(B210,'ÓRDENES-DE-COMPRA'!$A$11:$A$110,0)),""))</x:f>
      </x:c>
      <x:c r="M210" s="59" t="str">
        <x:f>IF(OR(B210="",COUNT(F210:G210)&lt;2),"",F210*G210)</x:f>
      </x:c>
      <x:c r="N210" s="59" t="str">
        <x:f>IF(OR(B210="",COUNT(F210:H210)&lt;3),"",IF(L210="Cancelada",0,MIN(F210,H210)*G210))</x:f>
      </x:c>
      <x:c r="O210" s="59" t="str">
        <x:f>IF(OR(B210="",COUNT(F210:H210)&lt;3),"",IF(L210="Cancelada",0,MAX(F210-H210,0)))</x:f>
      </x:c>
      <x:c r="P210" s="59" t="str">
        <x:f>IF(COUNT(O210)=0,"",O210*G210)</x:f>
      </x:c>
      <x:c r="Q210" s="46" t="str">
        <x:f>IF(B210="","",IF(L210="Cancelada","Cancelada",IF(COUNT(H210)=0,"Sin recibir",IF(H210=0,"Sin recibir",IF(H210&lt;F210,"Parcial",IF(H210=F210,"Completa","Recepción excedida"))))))</x:f>
      </x:c>
    </x:row>
  </x:sheetData>
  <x:mergeCells>
    <x:mergeCell ref="A1:Q2"/>
    <x:mergeCell ref="A3:Q3"/>
    <x:mergeCell ref="A5:Q5"/>
  </x:mergeCells>
  <x:conditionalFormatting sqref="A11:A210">
    <x:cfRule type="duplicateValues" dxfId="5" priority="1"/>
  </x:conditionalFormatting>
  <x:conditionalFormatting sqref="Q11:Q210">
    <x:cfRule type="containsText" dxfId="6" priority="2" operator="containsText" text="Completa"/>
    <x:cfRule type="containsText" dxfId="7" priority="3" operator="containsText" text="Parcial"/>
    <x:cfRule type="containsText" dxfId="8" priority="4" operator="containsText" text="Recepción excedida"/>
    <x:cfRule type="containsText" dxfId="9" priority="5" operator="containsText" text="Cancelada"/>
  </x:conditionalFormatting>
  <x:dataValidations count="6">
    <x:dataValidation type="list" sqref="B11:B210">
      <x:formula1>INDIRECT("'ÓRDENES-DE-COMPRA'!$A$11:$A$110")</x:formula1>
    </x:dataValidation>
    <x:dataValidation type="list" sqref="E11:E210">
      <x:formula1>INDIRECT("'CONFIGURACIÓN'!$H$6:$H$11")</x:formula1>
    </x:dataValidation>
    <x:dataValidation type="list" sqref="J11:J210">
      <x:formula1>INDIRECT("'CONFIGURACIÓN'!$K$6:$K$9")</x:formula1>
    </x:dataValidation>
    <x:dataValidation type="decimal" operator="between" sqref="F11:F210">
      <x:formula1>0</x:formula1>
      <x:formula2>1000000</x:formula2>
    </x:dataValidation>
    <x:dataValidation type="decimal" operator="between" sqref="G11:G210">
      <x:formula1>0</x:formula1>
      <x:formula2>1000000000</x:formula2>
    </x:dataValidation>
    <x:dataValidation type="decimal" operator="between" sqref="H11:H210">
      <x:formula1>0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0d24d8bbd505459c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8" hidden="0" customWidth="1"/>
    <x:col min="3" max="3" width="20" hidden="0" customWidth="1"/>
    <x:col min="4" max="4" width="24" hidden="0" customWidth="1"/>
    <x:col min="5" max="5" width="17" hidden="0" customWidth="1"/>
    <x:col min="6" max="6" width="18" hidden="0" customWidth="1"/>
    <x:col min="7" max="7" width="19" hidden="0" customWidth="1"/>
    <x:col min="8" max="8" width="16" hidden="0" customWidth="1"/>
    <x:col min="9" max="9" width="21" hidden="0" customWidth="1"/>
    <x:col min="10" max="10" width="17" hidden="0" customWidth="1"/>
    <x:col min="11" max="11" width="16" hidden="0" customWidth="1"/>
    <x:col min="12" max="12" width="19" hidden="0" customWidth="1"/>
    <x:col min="13" max="13" width="19" hidden="0" customWidth="1"/>
    <x:col min="14" max="14" width="20" hidden="0" customWidth="1"/>
    <x:col min="15" max="15" width="16" hidden="0" customWidth="1"/>
    <x:col min="16" max="16" width="21" hidden="0" customWidth="1"/>
    <x:col min="17" max="17" width="18" hidden="0" customWidth="1"/>
    <x:col min="18" max="18" width="22" hidden="0" customWidth="1"/>
  </x:cols>
  <x:sheetData>
    <x:row r="1" ht="26" customHeight="1">
      <x:c r="A1" s="5" t="str">
        <x:v>RESUMEN DE PEDIDOS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</x:row>
    <x:row r="3" ht="28" customHeight="1">
      <x:c r="A3" s="8" t="str">
        <x:v>Revisión calculada de compromisos, recepción, días de retraso y prioridad por orden.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>
      <x:c r="A5" s="69" t="str">
        <x:v>El valor pendiente corresponde solo a mercancía. Impuestos y envío se muestran por separado y no se distribuyen entre recepciones parciales.</x:v>
      </x:c>
      <x:c r="B5" s="70"/>
      <x:c r="C5" s="70"/>
      <x:c r="D5" s="70"/>
      <x:c r="E5" s="70"/>
      <x:c r="F5" s="70"/>
      <x:c r="G5" s="70"/>
      <x:c r="H5" s="70"/>
      <x:c r="I5" s="70"/>
      <x:c r="J5" s="70"/>
      <x:c r="K5" s="70"/>
      <x:c r="L5" s="70"/>
      <x:c r="M5" s="70"/>
      <x:c r="N5" s="70"/>
      <x:c r="O5" s="70"/>
      <x:c r="P5" s="70"/>
      <x:c r="Q5" s="70"/>
      <x:c r="R5" s="71"/>
    </x:row>
    <x:row r="6">
      <x:c r="A6" s="72"/>
      <x:c r="B6" s="73"/>
      <x:c r="C6" s="73"/>
      <x:c r="D6" s="73"/>
      <x:c r="E6" s="73"/>
      <x:c r="F6" s="73"/>
      <x:c r="G6" s="73"/>
      <x:c r="H6" s="73"/>
      <x:c r="I6" s="73"/>
      <x:c r="J6" s="73"/>
      <x:c r="K6" s="73"/>
      <x:c r="L6" s="73"/>
      <x:c r="M6" s="73"/>
      <x:c r="N6" s="73"/>
      <x:c r="O6" s="73"/>
      <x:c r="P6" s="73"/>
      <x:c r="Q6" s="73"/>
      <x:c r="R6" s="74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</x:row>
    <x:row r="10" ht="50" customHeight="1">
      <x:c r="A10" s="57" t="str">
        <x:v>N.º de orden</x:v>
      </x:c>
      <x:c r="B10" s="57" t="str">
        <x:v>Proveedor</x:v>
      </x:c>
      <x:c r="C10" s="57" t="str">
        <x:v>Comprador</x:v>
      </x:c>
      <x:c r="D10" s="57" t="str">
        <x:v>Área</x:v>
      </x:c>
      <x:c r="E10" s="57" t="str">
        <x:v>Fecha de orden</x:v>
      </x:c>
      <x:c r="F10" s="57" t="str">
        <x:v>Fecha prevista</x:v>
      </x:c>
      <x:c r="G10" s="57" t="str">
        <x:v>Estado</x:v>
      </x:c>
      <x:c r="H10" s="57" t="str">
        <x:v>N.º de líneas</x:v>
      </x:c>
      <x:c r="I10" s="57" t="str">
        <x:v>Valor de mercancía</x:v>
      </x:c>
      <x:c r="J10" s="57" t="str">
        <x:v>Impuesto</x:v>
      </x:c>
      <x:c r="K10" s="57" t="str">
        <x:v>Envío</x:v>
      </x:c>
      <x:c r="L10" s="57" t="str">
        <x:v>Total de la orden</x:v>
      </x:c>
      <x:c r="M10" s="57" t="str">
        <x:v>Valor recibido</x:v>
      </x:c>
      <x:c r="N10" s="57" t="str">
        <x:v>Valor pendiente</x:v>
      </x:c>
      <x:c r="O10" s="57" t="str">
        <x:v>Recepción %</x:v>
      </x:c>
      <x:c r="P10" s="57" t="str">
        <x:v>Estado de entrega</x:v>
      </x:c>
      <x:c r="Q10" s="57" t="str">
        <x:v>Días de retraso</x:v>
      </x:c>
      <x:c r="R10" s="57" t="str">
        <x:v>Prioridad de revisión</x:v>
      </x:c>
    </x:row>
    <x:row r="11">
      <x:c r="A11" s="46" t="str">
        <x:f>IF('ÓRDENES-DE-COMPRA'!A11="","",'ÓRDENES-DE-COMPRA'!A11)</x:f>
        <x:v>PO-001</x:v>
      </x:c>
      <x:c r="B11" s="46" t="str">
        <x:f>IF(A11="","",'ÓRDENES-DE-COMPRA'!C11)</x:f>
        <x:v>Suministros Oficina Metro</x:v>
      </x:c>
      <x:c r="C11" s="46" t="str">
        <x:f>IF(A11="","",'ÓRDENES-DE-COMPRA'!D11)</x:f>
        <x:v>Maya Chen</x:v>
      </x:c>
      <x:c r="D11" s="46" t="str">
        <x:f>IF(A11="","",'ÓRDENES-DE-COMPRA'!E11)</x:f>
        <x:v>Administración</x:v>
      </x:c>
      <x:c r="E11" s="75" t="n">
        <x:f>IF(A11="","",'ÓRDENES-DE-COMPRA'!B11)</x:f>
        <x:v>46034</x:v>
      </x:c>
      <x:c r="F11" s="75" t="n">
        <x:f>IF(A11="","",'ÓRDENES-DE-COMPRA'!F11)</x:f>
        <x:v>46042</x:v>
      </x:c>
      <x:c r="G11" s="46" t="str">
        <x:f>IF(A11="","",'ÓRDENES-DE-COMPRA'!H11)</x:f>
        <x:v>Cerrada</x:v>
      </x:c>
      <x:c r="H11" s="46" t="n">
        <x:f>IF(A11="","",'ÓRDENES-DE-COMPRA'!L11)</x:f>
        <x:v>2</x:v>
      </x:c>
      <x:c r="I11" s="59" t="n">
        <x:f>IF(A11="","",'ÓRDENES-DE-COMPRA'!M11)</x:f>
        <x:v>1050</x:v>
      </x:c>
      <x:c r="J11" s="59" t="n">
        <x:f>IF(A11="","",'ÓRDENES-DE-COMPRA'!N11)</x:f>
        <x:v>52.5</x:v>
      </x:c>
      <x:c r="K11" s="59" t="n">
        <x:f>IF(A11="","",'ÓRDENES-DE-COMPRA'!J11)</x:f>
        <x:v>25</x:v>
      </x:c>
      <x:c r="L11" s="59" t="n">
        <x:f>IF(A11="","",'ÓRDENES-DE-COMPRA'!O11)</x:f>
        <x:v>1127.5</x:v>
      </x:c>
      <x:c r="M11" s="59" t="n">
        <x:f>IF(A11="","",'ÓRDENES-DE-COMPRA'!P11)</x:f>
        <x:v>1050</x:v>
      </x:c>
      <x:c r="N11" s="59" t="n">
        <x:f>IF(A11="","",'ÓRDENES-DE-COMPRA'!Q11)</x:f>
        <x:v>0</x:v>
      </x:c>
      <x:c r="O11" s="60" t="n">
        <x:f>IF(A11="","",'ÓRDENES-DE-COMPRA'!R11)</x:f>
        <x:v>1</x:v>
      </x:c>
      <x:c r="P11" s="46" t="str">
        <x:f>IF(A11="","",'ÓRDENES-DE-COMPRA'!S11)</x:f>
        <x:v>Completa</x:v>
      </x:c>
      <x:c r="Q11" s="76" t="n">
        <x:f>IF(A11="","",IF(OR(N11=0,F11=""),0,MAX('CONFIGURACIÓN'!$B$7-F11,0)))</x:f>
        <x:v>0</x:v>
      </x:c>
      <x:c r="R11" s="46" t="str">
        <x:f>IF(A11="","",IF(G11="Cancelada","Sin acción",IF(P11="Vencida","Acción requerida",IF(N11&gt;='CONFIGURACIÓN'!$B$10,"Valor alto",IF(P11="Próxima a vencer","Supervisar","Rutina")))))</x:f>
        <x:v>Rutina</x:v>
      </x:c>
    </x:row>
    <x:row r="12">
      <x:c r="A12" s="46" t="str">
        <x:f>IF('ÓRDENES-DE-COMPRA'!A12="","",'ÓRDENES-DE-COMPRA'!A12)</x:f>
        <x:v>PO-002</x:v>
      </x:c>
      <x:c r="B12" s="46" t="str">
        <x:f>IF(A12="","",'ÓRDENES-DE-COMPRA'!C12)</x:f>
        <x:v>Embalajes del Golfo</x:v>
      </x:c>
      <x:c r="C12" s="46" t="str">
        <x:f>IF(A12="","",'ÓRDENES-DE-COMPRA'!D12)</x:f>
        <x:v>Omar Hassan</x:v>
      </x:c>
      <x:c r="D12" s="46" t="str">
        <x:f>IF(A12="","",'ÓRDENES-DE-COMPRA'!E12)</x:f>
        <x:v>Operaciones</x:v>
      </x:c>
      <x:c r="E12" s="75" t="n">
        <x:f>IF(A12="","",'ÓRDENES-DE-COMPRA'!B12)</x:f>
        <x:v>46056</x:v>
      </x:c>
      <x:c r="F12" s="75" t="n">
        <x:f>IF(A12="","",'ÓRDENES-DE-COMPRA'!F12)</x:f>
        <x:v>46068</x:v>
      </x:c>
      <x:c r="G12" s="46" t="str">
        <x:f>IF(A12="","",'ÓRDENES-DE-COMPRA'!H12)</x:f>
        <x:v>Emitida</x:v>
      </x:c>
      <x:c r="H12" s="46" t="n">
        <x:f>IF(A12="","",'ÓRDENES-DE-COMPRA'!L12)</x:f>
        <x:v>2</x:v>
      </x:c>
      <x:c r="I12" s="59" t="n">
        <x:f>IF(A12="","",'ÓRDENES-DE-COMPRA'!M12)</x:f>
        <x:v>960</x:v>
      </x:c>
      <x:c r="J12" s="59" t="n">
        <x:f>IF(A12="","",'ÓRDENES-DE-COMPRA'!N12)</x:f>
        <x:v>48</x:v>
      </x:c>
      <x:c r="K12" s="59" t="n">
        <x:f>IF(A12="","",'ÓRDENES-DE-COMPRA'!J12)</x:f>
        <x:v>40</x:v>
      </x:c>
      <x:c r="L12" s="59" t="n">
        <x:f>IF(A12="","",'ÓRDENES-DE-COMPRA'!O12)</x:f>
        <x:v>1048</x:v>
      </x:c>
      <x:c r="M12" s="59" t="n">
        <x:f>IF(A12="","",'ÓRDENES-DE-COMPRA'!P12)</x:f>
        <x:v>720</x:v>
      </x:c>
      <x:c r="N12" s="59" t="n">
        <x:f>IF(A12="","",'ÓRDENES-DE-COMPRA'!Q12)</x:f>
        <x:v>240</x:v>
      </x:c>
      <x:c r="O12" s="60" t="n">
        <x:f>IF(A12="","",'ÓRDENES-DE-COMPRA'!R12)</x:f>
        <x:v>0.75</x:v>
      </x:c>
      <x:c r="P12" s="46" t="str">
        <x:f>IF(A12="","",'ÓRDENES-DE-COMPRA'!S12)</x:f>
        <x:v>Vencida</x:v>
      </x:c>
      <x:c r="Q12" s="76" t="n">
        <x:f>IF(A12="","",IF(OR(N12=0,F12=""),0,MAX('CONFIGURACIÓN'!$B$7-F12,0)))</x:f>
        <x:v>177</x:v>
      </x:c>
      <x:c r="R12" s="46" t="str">
        <x:f>IF(A12="","",IF(G12="Cancelada","Sin acción",IF(P12="Vencida","Acción requerida",IF(N12&gt;='CONFIGURACIÓN'!$B$10,"Valor alto",IF(P12="Próxima a vencer","Supervisar","Rutina")))))</x:f>
        <x:v>Acción requerida</x:v>
      </x:c>
    </x:row>
    <x:row r="13">
      <x:c r="A13" s="46" t="str">
        <x:f>IF('ÓRDENES-DE-COMPRA'!A13="","",'ÓRDENES-DE-COMPRA'!A13)</x:f>
        <x:v>PO-003</x:v>
      </x:c>
      <x:c r="B13" s="46" t="str">
        <x:f>IF(A13="","",'ÓRDENES-DE-COMPRA'!C13)</x:f>
        <x:v>Tecnología Brillante</x:v>
      </x:c>
      <x:c r="C13" s="46" t="str">
        <x:f>IF(A13="","",'ÓRDENES-DE-COMPRA'!D13)</x:f>
        <x:v>Lina Park</x:v>
      </x:c>
      <x:c r="D13" s="46" t="str">
        <x:f>IF(A13="","",'ÓRDENES-DE-COMPRA'!E13)</x:f>
        <x:v>Tecnología de la información</x:v>
      </x:c>
      <x:c r="E13" s="75" t="n">
        <x:f>IF(A13="","",'ÓRDENES-DE-COMPRA'!B13)</x:f>
        <x:v>46091</x:v>
      </x:c>
      <x:c r="F13" s="75" t="n">
        <x:f>IF(A13="","",'ÓRDENES-DE-COMPRA'!F13)</x:f>
        <x:v>46106</x:v>
      </x:c>
      <x:c r="G13" s="46" t="str">
        <x:f>IF(A13="","",'ÓRDENES-DE-COMPRA'!H13)</x:f>
        <x:v>Cerrada</x:v>
      </x:c>
      <x:c r="H13" s="46" t="n">
        <x:f>IF(A13="","",'ÓRDENES-DE-COMPRA'!L13)</x:f>
        <x:v>2</x:v>
      </x:c>
      <x:c r="I13" s="59" t="n">
        <x:f>IF(A13="","",'ÓRDENES-DE-COMPRA'!M13)</x:f>
        <x:v>1870</x:v>
      </x:c>
      <x:c r="J13" s="59" t="n">
        <x:f>IF(A13="","",'ÓRDENES-DE-COMPRA'!N13)</x:f>
        <x:v>93.5</x:v>
      </x:c>
      <x:c r="K13" s="59" t="n">
        <x:f>IF(A13="","",'ÓRDENES-DE-COMPRA'!J13)</x:f>
        <x:v>30</x:v>
      </x:c>
      <x:c r="L13" s="59" t="n">
        <x:f>IF(A13="","",'ÓRDENES-DE-COMPRA'!O13)</x:f>
        <x:v>1993.5</x:v>
      </x:c>
      <x:c r="M13" s="59" t="n">
        <x:f>IF(A13="","",'ÓRDENES-DE-COMPRA'!P13)</x:f>
        <x:v>1870</x:v>
      </x:c>
      <x:c r="N13" s="59" t="n">
        <x:f>IF(A13="","",'ÓRDENES-DE-COMPRA'!Q13)</x:f>
        <x:v>0</x:v>
      </x:c>
      <x:c r="O13" s="60" t="n">
        <x:f>IF(A13="","",'ÓRDENES-DE-COMPRA'!R13)</x:f>
        <x:v>1</x:v>
      </x:c>
      <x:c r="P13" s="46" t="str">
        <x:f>IF(A13="","",'ÓRDENES-DE-COMPRA'!S13)</x:f>
        <x:v>Completa</x:v>
      </x:c>
      <x:c r="Q13" s="76" t="n">
        <x:f>IF(A13="","",IF(OR(N13=0,F13=""),0,MAX('CONFIGURACIÓN'!$B$7-F13,0)))</x:f>
        <x:v>0</x:v>
      </x:c>
      <x:c r="R13" s="46" t="str">
        <x:f>IF(A13="","",IF(G13="Cancelada","Sin acción",IF(P13="Vencida","Acción requerida",IF(N13&gt;='CONFIGURACIÓN'!$B$10,"Valor alto",IF(P13="Próxima a vencer","Supervisar","Rutina")))))</x:f>
        <x:v>Rutina</x:v>
      </x:c>
    </x:row>
    <x:row r="14">
      <x:c r="A14" s="46" t="str">
        <x:f>IF('ÓRDENES-DE-COMPRA'!A14="","",'ÓRDENES-DE-COMPRA'!A14)</x:f>
        <x:v>PO-004</x:v>
      </x:c>
      <x:c r="B14" s="46" t="str">
        <x:f>IF(A14="","",'ÓRDENES-DE-COMPRA'!C14)</x:f>
        <x:v>Mayorista LimpioPro</x:v>
      </x:c>
      <x:c r="C14" s="46" t="str">
        <x:f>IF(A14="","",'ÓRDENES-DE-COMPRA'!D14)</x:f>
        <x:v>James Cole</x:v>
      </x:c>
      <x:c r="D14" s="46" t="str">
        <x:f>IF(A14="","",'ÓRDENES-DE-COMPRA'!E14)</x:f>
        <x:v>Instalaciones</x:v>
      </x:c>
      <x:c r="E14" s="75" t="n">
        <x:f>IF(A14="","",'ÓRDENES-DE-COMPRA'!B14)</x:f>
        <x:v>46117</x:v>
      </x:c>
      <x:c r="F14" s="75" t="n">
        <x:f>IF(A14="","",'ÓRDENES-DE-COMPRA'!F14)</x:f>
        <x:v>46130</x:v>
      </x:c>
      <x:c r="G14" s="46" t="str">
        <x:f>IF(A14="","",'ÓRDENES-DE-COMPRA'!H14)</x:f>
        <x:v>Emitida</x:v>
      </x:c>
      <x:c r="H14" s="46" t="n">
        <x:f>IF(A14="","",'ÓRDENES-DE-COMPRA'!L14)</x:f>
        <x:v>3</x:v>
      </x:c>
      <x:c r="I14" s="59" t="n">
        <x:f>IF(A14="","",'ÓRDENES-DE-COMPRA'!M14)</x:f>
        <x:v>940</x:v>
      </x:c>
      <x:c r="J14" s="59" t="n">
        <x:f>IF(A14="","",'ÓRDENES-DE-COMPRA'!N14)</x:f>
        <x:v>47</x:v>
      </x:c>
      <x:c r="K14" s="59" t="n">
        <x:f>IF(A14="","",'ÓRDENES-DE-COMPRA'!J14)</x:f>
        <x:v>35</x:v>
      </x:c>
      <x:c r="L14" s="59" t="n">
        <x:f>IF(A14="","",'ÓRDENES-DE-COMPRA'!O14)</x:f>
        <x:v>1022</x:v>
      </x:c>
      <x:c r="M14" s="59" t="n">
        <x:f>IF(A14="","",'ÓRDENES-DE-COMPRA'!P14)</x:f>
        <x:v>660</x:v>
      </x:c>
      <x:c r="N14" s="59" t="n">
        <x:f>IF(A14="","",'ÓRDENES-DE-COMPRA'!Q14)</x:f>
        <x:v>280</x:v>
      </x:c>
      <x:c r="O14" s="60" t="n">
        <x:f>IF(A14="","",'ÓRDENES-DE-COMPRA'!R14)</x:f>
        <x:v>0.7021276595744681</x:v>
      </x:c>
      <x:c r="P14" s="46" t="str">
        <x:f>IF(A14="","",'ÓRDENES-DE-COMPRA'!S14)</x:f>
        <x:v>Vencida</x:v>
      </x:c>
      <x:c r="Q14" s="76" t="n">
        <x:f>IF(A14="","",IF(OR(N14=0,F14=""),0,MAX('CONFIGURACIÓN'!$B$7-F14,0)))</x:f>
        <x:v>115</x:v>
      </x:c>
      <x:c r="R14" s="46" t="str">
        <x:f>IF(A14="","",IF(G14="Cancelada","Sin acción",IF(P14="Vencida","Acción requerida",IF(N14&gt;='CONFIGURACIÓN'!$B$10,"Valor alto",IF(P14="Próxima a vencer","Supervisar","Rutina")))))</x:f>
        <x:v>Acción requerida</x:v>
      </x:c>
    </x:row>
    <x:row r="15">
      <x:c r="A15" s="46" t="str">
        <x:f>IF('ÓRDENES-DE-COMPRA'!A15="","",'ÓRDENES-DE-COMPRA'!A15)</x:f>
        <x:v>PO-005</x:v>
      </x:c>
      <x:c r="B15" s="46" t="str">
        <x:f>IF(A15="","",'ÓRDENES-DE-COMPRA'!C15)</x:f>
        <x:v>Alimentos del Desierto</x:v>
      </x:c>
      <x:c r="C15" s="46" t="str">
        <x:f>IF(A15="","",'ÓRDENES-DE-COMPRA'!D15)</x:f>
        <x:v>Maya Chen</x:v>
      </x:c>
      <x:c r="D15" s="46" t="str">
        <x:f>IF(A15="","",'ÓRDENES-DE-COMPRA'!E15)</x:f>
        <x:v>Administración</x:v>
      </x:c>
      <x:c r="E15" s="75" t="n">
        <x:f>IF(A15="","",'ÓRDENES-DE-COMPRA'!B15)</x:f>
        <x:v>46157</x:v>
      </x:c>
      <x:c r="F15" s="75" t="n">
        <x:f>IF(A15="","",'ÓRDENES-DE-COMPRA'!F15)</x:f>
        <x:v>46167</x:v>
      </x:c>
      <x:c r="G15" s="46" t="str">
        <x:f>IF(A15="","",'ÓRDENES-DE-COMPRA'!H15)</x:f>
        <x:v>Cancelada</x:v>
      </x:c>
      <x:c r="H15" s="46" t="n">
        <x:f>IF(A15="","",'ÓRDENES-DE-COMPRA'!L15)</x:f>
        <x:v>1</x:v>
      </x:c>
      <x:c r="I15" s="59" t="n">
        <x:f>IF(A15="","",'ÓRDENES-DE-COMPRA'!M15)</x:f>
        <x:v>1650</x:v>
      </x:c>
      <x:c r="J15" s="59" t="n">
        <x:f>IF(A15="","",'ÓRDENES-DE-COMPRA'!N15)</x:f>
        <x:v>82.5</x:v>
      </x:c>
      <x:c r="K15" s="59" t="n">
        <x:f>IF(A15="","",'ÓRDENES-DE-COMPRA'!J15)</x:f>
        <x:v>20</x:v>
      </x:c>
      <x:c r="L15" s="59" t="n">
        <x:f>IF(A15="","",'ÓRDENES-DE-COMPRA'!O15)</x:f>
        <x:v>1752.5</x:v>
      </x:c>
      <x:c r="M15" s="59" t="n">
        <x:f>IF(A15="","",'ÓRDENES-DE-COMPRA'!P15)</x:f>
        <x:v>0</x:v>
      </x:c>
      <x:c r="N15" s="59" t="n">
        <x:f>IF(A15="","",'ÓRDENES-DE-COMPRA'!Q15)</x:f>
        <x:v>0</x:v>
      </x:c>
      <x:c r="O15" s="60" t="n">
        <x:f>IF(A15="","",'ÓRDENES-DE-COMPRA'!R15)</x:f>
        <x:v>0</x:v>
      </x:c>
      <x:c r="P15" s="46" t="str">
        <x:f>IF(A15="","",'ÓRDENES-DE-COMPRA'!S15)</x:f>
        <x:v>Cancelada</x:v>
      </x:c>
      <x:c r="Q15" s="76" t="n">
        <x:f>IF(A15="","",IF(OR(N15=0,F15=""),0,MAX('CONFIGURACIÓN'!$B$7-F15,0)))</x:f>
        <x:v>0</x:v>
      </x:c>
      <x:c r="R15" s="46" t="str">
        <x:f>IF(A15="","",IF(G15="Cancelada","Sin acción",IF(P15="Vencida","Acción requerida",IF(N15&gt;='CONFIGURACIÓN'!$B$10,"Valor alto",IF(P15="Próxima a vencer","Supervisar","Rutina")))))</x:f>
        <x:v>Sin acción</x:v>
      </x:c>
    </x:row>
    <x:row r="16">
      <x:c r="A16" s="46" t="str">
        <x:f>IF('ÓRDENES-DE-COMPRA'!A16="","",'ÓRDENES-DE-COMPRA'!A16)</x:f>
        <x:v>PO-006</x:v>
      </x:c>
      <x:c r="B16" s="46" t="str">
        <x:f>IF(A16="","",'ÓRDENES-DE-COMPRA'!C16)</x:f>
        <x:v>Equipos Trabajo Seguro</x:v>
      </x:c>
      <x:c r="C16" s="46" t="str">
        <x:f>IF(A16="","",'ÓRDENES-DE-COMPRA'!D16)</x:f>
        <x:v>Omar Hassan</x:v>
      </x:c>
      <x:c r="D16" s="46" t="str">
        <x:f>IF(A16="","",'ÓRDENES-DE-COMPRA'!E16)</x:f>
        <x:v>Operaciones</x:v>
      </x:c>
      <x:c r="E16" s="75" t="n">
        <x:f>IF(A16="","",'ÓRDENES-DE-COMPRA'!B16)</x:f>
        <x:v>46175</x:v>
      </x:c>
      <x:c r="F16" s="75" t="n">
        <x:f>IF(A16="","",'ÓRDENES-DE-COMPRA'!F16)</x:f>
        <x:v>46193</x:v>
      </x:c>
      <x:c r="G16" s="46" t="str">
        <x:f>IF(A16="","",'ÓRDENES-DE-COMPRA'!H16)</x:f>
        <x:v>Aprobada</x:v>
      </x:c>
      <x:c r="H16" s="46" t="n">
        <x:f>IF(A16="","",'ÓRDENES-DE-COMPRA'!L16)</x:f>
        <x:v>2</x:v>
      </x:c>
      <x:c r="I16" s="59" t="n">
        <x:f>IF(A16="","",'ÓRDENES-DE-COMPRA'!M16)</x:f>
        <x:v>1590</x:v>
      </x:c>
      <x:c r="J16" s="59" t="n">
        <x:f>IF(A16="","",'ÓRDENES-DE-COMPRA'!N16)</x:f>
        <x:v>79.5</x:v>
      </x:c>
      <x:c r="K16" s="59" t="n">
        <x:f>IF(A16="","",'ÓRDENES-DE-COMPRA'!J16)</x:f>
        <x:v>50</x:v>
      </x:c>
      <x:c r="L16" s="59" t="n">
        <x:f>IF(A16="","",'ÓRDENES-DE-COMPRA'!O16)</x:f>
        <x:v>1719.5</x:v>
      </x:c>
      <x:c r="M16" s="59" t="n">
        <x:f>IF(A16="","",'ÓRDENES-DE-COMPRA'!P16)</x:f>
        <x:v>0</x:v>
      </x:c>
      <x:c r="N16" s="59" t="n">
        <x:f>IF(A16="","",'ÓRDENES-DE-COMPRA'!Q16)</x:f>
        <x:v>1590</x:v>
      </x:c>
      <x:c r="O16" s="60" t="n">
        <x:f>IF(A16="","",'ÓRDENES-DE-COMPRA'!R16)</x:f>
        <x:v>0</x:v>
      </x:c>
      <x:c r="P16" s="46" t="str">
        <x:f>IF(A16="","",'ÓRDENES-DE-COMPRA'!S16)</x:f>
        <x:v>Vencida</x:v>
      </x:c>
      <x:c r="Q16" s="76" t="n">
        <x:f>IF(A16="","",IF(OR(N16=0,F16=""),0,MAX('CONFIGURACIÓN'!$B$7-F16,0)))</x:f>
        <x:v>52</x:v>
      </x:c>
      <x:c r="R16" s="46" t="str">
        <x:f>IF(A16="","",IF(G16="Cancelada","Sin acción",IF(P16="Vencida","Acción requerida",IF(N16&gt;='CONFIGURACIÓN'!$B$10,"Valor alto",IF(P16="Próxima a vencer","Supervisar","Rutina")))))</x:f>
        <x:v>Acción requerida</x:v>
      </x:c>
    </x:row>
    <x:row r="17">
      <x:c r="A17" s="46" t="str">
        <x:f>IF('ÓRDENES-DE-COMPRA'!A17="","",'ÓRDENES-DE-COMPRA'!A17)</x:f>
        <x:v>PO-007</x:v>
      </x:c>
      <x:c r="B17" s="46" t="str">
        <x:f>IF(A17="","",'ÓRDENES-DE-COMPRA'!C17)</x:f>
        <x:v>Suministros Oficina Metro</x:v>
      </x:c>
      <x:c r="C17" s="46" t="str">
        <x:f>IF(A17="","",'ÓRDENES-DE-COMPRA'!D17)</x:f>
        <x:v>Lina Park</x:v>
      </x:c>
      <x:c r="D17" s="46" t="str">
        <x:f>IF(A17="","",'ÓRDENES-DE-COMPRA'!E17)</x:f>
        <x:v>Administración</x:v>
      </x:c>
      <x:c r="E17" s="75" t="n">
        <x:f>IF(A17="","",'ÓRDENES-DE-COMPRA'!B17)</x:f>
        <x:v>46211</x:v>
      </x:c>
      <x:c r="F17" s="75" t="n">
        <x:f>IF(A17="","",'ÓRDENES-DE-COMPRA'!F17)</x:f>
        <x:v>46221</x:v>
      </x:c>
      <x:c r="G17" s="46" t="str">
        <x:f>IF(A17="","",'ÓRDENES-DE-COMPRA'!H17)</x:f>
        <x:v>Emitida</x:v>
      </x:c>
      <x:c r="H17" s="46" t="n">
        <x:f>IF(A17="","",'ÓRDENES-DE-COMPRA'!L17)</x:f>
        <x:v>2</x:v>
      </x:c>
      <x:c r="I17" s="59" t="n">
        <x:f>IF(A17="","",'ÓRDENES-DE-COMPRA'!M17)</x:f>
        <x:v>1280</x:v>
      </x:c>
      <x:c r="J17" s="59" t="n">
        <x:f>IF(A17="","",'ÓRDENES-DE-COMPRA'!N17)</x:f>
        <x:v>64</x:v>
      </x:c>
      <x:c r="K17" s="59" t="n">
        <x:f>IF(A17="","",'ÓRDENES-DE-COMPRA'!J17)</x:f>
        <x:v>25</x:v>
      </x:c>
      <x:c r="L17" s="59" t="n">
        <x:f>IF(A17="","",'ÓRDENES-DE-COMPRA'!O17)</x:f>
        <x:v>1369</x:v>
      </x:c>
      <x:c r="M17" s="59" t="n">
        <x:f>IF(A17="","",'ÓRDENES-DE-COMPRA'!P17)</x:f>
        <x:v>920</x:v>
      </x:c>
      <x:c r="N17" s="59" t="n">
        <x:f>IF(A17="","",'ÓRDENES-DE-COMPRA'!Q17)</x:f>
        <x:v>360</x:v>
      </x:c>
      <x:c r="O17" s="60" t="n">
        <x:f>IF(A17="","",'ÓRDENES-DE-COMPRA'!R17)</x:f>
        <x:v>0.71875</x:v>
      </x:c>
      <x:c r="P17" s="46" t="str">
        <x:f>IF(A17="","",'ÓRDENES-DE-COMPRA'!S17)</x:f>
        <x:v>Vencida</x:v>
      </x:c>
      <x:c r="Q17" s="76" t="n">
        <x:f>IF(A17="","",IF(OR(N17=0,F17=""),0,MAX('CONFIGURACIÓN'!$B$7-F17,0)))</x:f>
        <x:v>24</x:v>
      </x:c>
      <x:c r="R17" s="46" t="str">
        <x:f>IF(A17="","",IF(G17="Cancelada","Sin acción",IF(P17="Vencida","Acción requerida",IF(N17&gt;='CONFIGURACIÓN'!$B$10,"Valor alto",IF(P17="Próxima a vencer","Supervisar","Rutina")))))</x:f>
        <x:v>Acción requerida</x:v>
      </x:c>
    </x:row>
    <x:row r="18">
      <x:c r="A18" s="46" t="str">
        <x:f>IF('ÓRDENES-DE-COMPRA'!A18="","",'ÓRDENES-DE-COMPRA'!A18)</x:f>
        <x:v>PO-008</x:v>
      </x:c>
      <x:c r="B18" s="46" t="str">
        <x:f>IF(A18="","",'ÓRDENES-DE-COMPRA'!C18)</x:f>
        <x:v>Embalajes del Golfo</x:v>
      </x:c>
      <x:c r="C18" s="46" t="str">
        <x:f>IF(A18="","",'ÓRDENES-DE-COMPRA'!D18)</x:f>
        <x:v>James Cole</x:v>
      </x:c>
      <x:c r="D18" s="46" t="str">
        <x:f>IF(A18="","",'ÓRDENES-DE-COMPRA'!E18)</x:f>
        <x:v>Operaciones</x:v>
      </x:c>
      <x:c r="E18" s="75" t="n">
        <x:f>IF(A18="","",'ÓRDENES-DE-COMPRA'!B18)</x:f>
        <x:v>46235</x:v>
      </x:c>
      <x:c r="F18" s="75" t="n">
        <x:f>IF(A18="","",'ÓRDENES-DE-COMPRA'!F18)</x:f>
        <x:v>46254</x:v>
      </x:c>
      <x:c r="G18" s="46" t="str">
        <x:f>IF(A18="","",'ÓRDENES-DE-COMPRA'!H18)</x:f>
        <x:v>Aprobada</x:v>
      </x:c>
      <x:c r="H18" s="46" t="n">
        <x:f>IF(A18="","",'ÓRDENES-DE-COMPRA'!L18)</x:f>
        <x:v>2</x:v>
      </x:c>
      <x:c r="I18" s="59" t="n">
        <x:f>IF(A18="","",'ÓRDENES-DE-COMPRA'!M18)</x:f>
        <x:v>1200</x:v>
      </x:c>
      <x:c r="J18" s="59" t="n">
        <x:f>IF(A18="","",'ÓRDENES-DE-COMPRA'!N18)</x:f>
        <x:v>60</x:v>
      </x:c>
      <x:c r="K18" s="59" t="n">
        <x:f>IF(A18="","",'ÓRDENES-DE-COMPRA'!J18)</x:f>
        <x:v>45</x:v>
      </x:c>
      <x:c r="L18" s="59" t="n">
        <x:f>IF(A18="","",'ÓRDENES-DE-COMPRA'!O18)</x:f>
        <x:v>1305</x:v>
      </x:c>
      <x:c r="M18" s="59" t="n">
        <x:f>IF(A18="","",'ÓRDENES-DE-COMPRA'!P18)</x:f>
        <x:v>0</x:v>
      </x:c>
      <x:c r="N18" s="59" t="n">
        <x:f>IF(A18="","",'ÓRDENES-DE-COMPRA'!Q18)</x:f>
        <x:v>1200</x:v>
      </x:c>
      <x:c r="O18" s="60" t="n">
        <x:f>IF(A18="","",'ÓRDENES-DE-COMPRA'!R18)</x:f>
        <x:v>0</x:v>
      </x:c>
      <x:c r="P18" s="46" t="str">
        <x:f>IF(A18="","",'ÓRDENES-DE-COMPRA'!S18)</x:f>
        <x:v>Abierta</x:v>
      </x:c>
      <x:c r="Q18" s="76" t="n">
        <x:f>IF(A18="","",IF(OR(N18=0,F18=""),0,MAX('CONFIGURACIÓN'!$B$7-F18,0)))</x:f>
        <x:v>0</x:v>
      </x:c>
      <x:c r="R18" s="46" t="str">
        <x:f>IF(A18="","",IF(G18="Cancelada","Sin acción",IF(P18="Vencida","Acción requerida",IF(N18&gt;='CONFIGURACIÓN'!$B$10,"Valor alto",IF(P18="Próxima a vencer","Supervisar","Rutina")))))</x:f>
        <x:v>Valor alto</x:v>
      </x:c>
    </x:row>
    <x:row r="19">
      <x:c r="A19" s="46" t="str">
        <x:f>IF('ÓRDENES-DE-COMPRA'!A19="","",'ÓRDENES-DE-COMPRA'!A19)</x:f>
      </x:c>
      <x:c r="B19" s="46" t="str">
        <x:f>IF(A19="","",'ÓRDENES-DE-COMPRA'!C19)</x:f>
      </x:c>
      <x:c r="C19" s="46" t="str">
        <x:f>IF(A19="","",'ÓRDENES-DE-COMPRA'!D19)</x:f>
      </x:c>
      <x:c r="D19" s="46" t="str">
        <x:f>IF(A19="","",'ÓRDENES-DE-COMPRA'!E19)</x:f>
      </x:c>
      <x:c r="E19" s="75" t="str">
        <x:f>IF(A19="","",'ÓRDENES-DE-COMPRA'!B19)</x:f>
      </x:c>
      <x:c r="F19" s="75" t="str">
        <x:f>IF(A19="","",'ÓRDENES-DE-COMPRA'!F19)</x:f>
      </x:c>
      <x:c r="G19" s="46" t="str">
        <x:f>IF(A19="","",'ÓRDENES-DE-COMPRA'!H19)</x:f>
      </x:c>
      <x:c r="H19" s="46" t="str">
        <x:f>IF(A19="","",'ÓRDENES-DE-COMPRA'!L19)</x:f>
      </x:c>
      <x:c r="I19" s="59" t="str">
        <x:f>IF(A19="","",'ÓRDENES-DE-COMPRA'!M19)</x:f>
      </x:c>
      <x:c r="J19" s="59" t="str">
        <x:f>IF(A19="","",'ÓRDENES-DE-COMPRA'!N19)</x:f>
      </x:c>
      <x:c r="K19" s="59" t="str">
        <x:f>IF(A19="","",'ÓRDENES-DE-COMPRA'!J19)</x:f>
      </x:c>
      <x:c r="L19" s="59" t="str">
        <x:f>IF(A19="","",'ÓRDENES-DE-COMPRA'!O19)</x:f>
      </x:c>
      <x:c r="M19" s="59" t="str">
        <x:f>IF(A19="","",'ÓRDENES-DE-COMPRA'!P19)</x:f>
      </x:c>
      <x:c r="N19" s="59" t="str">
        <x:f>IF(A19="","",'ÓRDENES-DE-COMPRA'!Q19)</x:f>
      </x:c>
      <x:c r="O19" s="60" t="str">
        <x:f>IF(A19="","",'ÓRDENES-DE-COMPRA'!R19)</x:f>
      </x:c>
      <x:c r="P19" s="46" t="str">
        <x:f>IF(A19="","",'ÓRDENES-DE-COMPRA'!S19)</x:f>
      </x:c>
      <x:c r="Q19" s="76" t="str">
        <x:f>IF(A19="","",IF(OR(N19=0,F19=""),0,MAX('CONFIGURACIÓN'!$B$7-F19,0)))</x:f>
      </x:c>
      <x:c r="R19" s="46" t="str">
        <x:f>IF(A19="","",IF(G19="Cancelada","Sin acción",IF(P19="Vencida","Acción requerida",IF(N19&gt;='CONFIGURACIÓN'!$B$10,"Valor alto",IF(P19="Próxima a vencer","Supervisar","Rutina")))))</x:f>
      </x:c>
    </x:row>
    <x:row r="20">
      <x:c r="A20" s="46" t="str">
        <x:f>IF('ÓRDENES-DE-COMPRA'!A20="","",'ÓRDENES-DE-COMPRA'!A20)</x:f>
      </x:c>
      <x:c r="B20" s="46" t="str">
        <x:f>IF(A20="","",'ÓRDENES-DE-COMPRA'!C20)</x:f>
      </x:c>
      <x:c r="C20" s="46" t="str">
        <x:f>IF(A20="","",'ÓRDENES-DE-COMPRA'!D20)</x:f>
      </x:c>
      <x:c r="D20" s="46" t="str">
        <x:f>IF(A20="","",'ÓRDENES-DE-COMPRA'!E20)</x:f>
      </x:c>
      <x:c r="E20" s="75" t="str">
        <x:f>IF(A20="","",'ÓRDENES-DE-COMPRA'!B20)</x:f>
      </x:c>
      <x:c r="F20" s="75" t="str">
        <x:f>IF(A20="","",'ÓRDENES-DE-COMPRA'!F20)</x:f>
      </x:c>
      <x:c r="G20" s="46" t="str">
        <x:f>IF(A20="","",'ÓRDENES-DE-COMPRA'!H20)</x:f>
      </x:c>
      <x:c r="H20" s="46" t="str">
        <x:f>IF(A20="","",'ÓRDENES-DE-COMPRA'!L20)</x:f>
      </x:c>
      <x:c r="I20" s="59" t="str">
        <x:f>IF(A20="","",'ÓRDENES-DE-COMPRA'!M20)</x:f>
      </x:c>
      <x:c r="J20" s="59" t="str">
        <x:f>IF(A20="","",'ÓRDENES-DE-COMPRA'!N20)</x:f>
      </x:c>
      <x:c r="K20" s="59" t="str">
        <x:f>IF(A20="","",'ÓRDENES-DE-COMPRA'!J20)</x:f>
      </x:c>
      <x:c r="L20" s="59" t="str">
        <x:f>IF(A20="","",'ÓRDENES-DE-COMPRA'!O20)</x:f>
      </x:c>
      <x:c r="M20" s="59" t="str">
        <x:f>IF(A20="","",'ÓRDENES-DE-COMPRA'!P20)</x:f>
      </x:c>
      <x:c r="N20" s="59" t="str">
        <x:f>IF(A20="","",'ÓRDENES-DE-COMPRA'!Q20)</x:f>
      </x:c>
      <x:c r="O20" s="60" t="str">
        <x:f>IF(A20="","",'ÓRDENES-DE-COMPRA'!R20)</x:f>
      </x:c>
      <x:c r="P20" s="46" t="str">
        <x:f>IF(A20="","",'ÓRDENES-DE-COMPRA'!S20)</x:f>
      </x:c>
      <x:c r="Q20" s="76" t="str">
        <x:f>IF(A20="","",IF(OR(N20=0,F20=""),0,MAX('CONFIGURACIÓN'!$B$7-F20,0)))</x:f>
      </x:c>
      <x:c r="R20" s="46" t="str">
        <x:f>IF(A20="","",IF(G20="Cancelada","Sin acción",IF(P20="Vencida","Acción requerida",IF(N20&gt;='CONFIGURACIÓN'!$B$10,"Valor alto",IF(P20="Próxima a vencer","Supervisar","Rutina")))))</x:f>
      </x:c>
    </x:row>
    <x:row r="21">
      <x:c r="A21" s="46" t="str">
        <x:f>IF('ÓRDENES-DE-COMPRA'!A21="","",'ÓRDENES-DE-COMPRA'!A21)</x:f>
      </x:c>
      <x:c r="B21" s="46" t="str">
        <x:f>IF(A21="","",'ÓRDENES-DE-COMPRA'!C21)</x:f>
      </x:c>
      <x:c r="C21" s="46" t="str">
        <x:f>IF(A21="","",'ÓRDENES-DE-COMPRA'!D21)</x:f>
      </x:c>
      <x:c r="D21" s="46" t="str">
        <x:f>IF(A21="","",'ÓRDENES-DE-COMPRA'!E21)</x:f>
      </x:c>
      <x:c r="E21" s="75" t="str">
        <x:f>IF(A21="","",'ÓRDENES-DE-COMPRA'!B21)</x:f>
      </x:c>
      <x:c r="F21" s="75" t="str">
        <x:f>IF(A21="","",'ÓRDENES-DE-COMPRA'!F21)</x:f>
      </x:c>
      <x:c r="G21" s="46" t="str">
        <x:f>IF(A21="","",'ÓRDENES-DE-COMPRA'!H21)</x:f>
      </x:c>
      <x:c r="H21" s="46" t="str">
        <x:f>IF(A21="","",'ÓRDENES-DE-COMPRA'!L21)</x:f>
      </x:c>
      <x:c r="I21" s="59" t="str">
        <x:f>IF(A21="","",'ÓRDENES-DE-COMPRA'!M21)</x:f>
      </x:c>
      <x:c r="J21" s="59" t="str">
        <x:f>IF(A21="","",'ÓRDENES-DE-COMPRA'!N21)</x:f>
      </x:c>
      <x:c r="K21" s="59" t="str">
        <x:f>IF(A21="","",'ÓRDENES-DE-COMPRA'!J21)</x:f>
      </x:c>
      <x:c r="L21" s="59" t="str">
        <x:f>IF(A21="","",'ÓRDENES-DE-COMPRA'!O21)</x:f>
      </x:c>
      <x:c r="M21" s="59" t="str">
        <x:f>IF(A21="","",'ÓRDENES-DE-COMPRA'!P21)</x:f>
      </x:c>
      <x:c r="N21" s="59" t="str">
        <x:f>IF(A21="","",'ÓRDENES-DE-COMPRA'!Q21)</x:f>
      </x:c>
      <x:c r="O21" s="60" t="str">
        <x:f>IF(A21="","",'ÓRDENES-DE-COMPRA'!R21)</x:f>
      </x:c>
      <x:c r="P21" s="46" t="str">
        <x:f>IF(A21="","",'ÓRDENES-DE-COMPRA'!S21)</x:f>
      </x:c>
      <x:c r="Q21" s="76" t="str">
        <x:f>IF(A21="","",IF(OR(N21=0,F21=""),0,MAX('CONFIGURACIÓN'!$B$7-F21,0)))</x:f>
      </x:c>
      <x:c r="R21" s="46" t="str">
        <x:f>IF(A21="","",IF(G21="Cancelada","Sin acción",IF(P21="Vencida","Acción requerida",IF(N21&gt;='CONFIGURACIÓN'!$B$10,"Valor alto",IF(P21="Próxima a vencer","Supervisar","Rutina")))))</x:f>
      </x:c>
    </x:row>
    <x:row r="22">
      <x:c r="A22" s="46" t="str">
        <x:f>IF('ÓRDENES-DE-COMPRA'!A22="","",'ÓRDENES-DE-COMPRA'!A22)</x:f>
      </x:c>
      <x:c r="B22" s="46" t="str">
        <x:f>IF(A22="","",'ÓRDENES-DE-COMPRA'!C22)</x:f>
      </x:c>
      <x:c r="C22" s="46" t="str">
        <x:f>IF(A22="","",'ÓRDENES-DE-COMPRA'!D22)</x:f>
      </x:c>
      <x:c r="D22" s="46" t="str">
        <x:f>IF(A22="","",'ÓRDENES-DE-COMPRA'!E22)</x:f>
      </x:c>
      <x:c r="E22" s="75" t="str">
        <x:f>IF(A22="","",'ÓRDENES-DE-COMPRA'!B22)</x:f>
      </x:c>
      <x:c r="F22" s="75" t="str">
        <x:f>IF(A22="","",'ÓRDENES-DE-COMPRA'!F22)</x:f>
      </x:c>
      <x:c r="G22" s="46" t="str">
        <x:f>IF(A22="","",'ÓRDENES-DE-COMPRA'!H22)</x:f>
      </x:c>
      <x:c r="H22" s="46" t="str">
        <x:f>IF(A22="","",'ÓRDENES-DE-COMPRA'!L22)</x:f>
      </x:c>
      <x:c r="I22" s="59" t="str">
        <x:f>IF(A22="","",'ÓRDENES-DE-COMPRA'!M22)</x:f>
      </x:c>
      <x:c r="J22" s="59" t="str">
        <x:f>IF(A22="","",'ÓRDENES-DE-COMPRA'!N22)</x:f>
      </x:c>
      <x:c r="K22" s="59" t="str">
        <x:f>IF(A22="","",'ÓRDENES-DE-COMPRA'!J22)</x:f>
      </x:c>
      <x:c r="L22" s="59" t="str">
        <x:f>IF(A22="","",'ÓRDENES-DE-COMPRA'!O22)</x:f>
      </x:c>
      <x:c r="M22" s="59" t="str">
        <x:f>IF(A22="","",'ÓRDENES-DE-COMPRA'!P22)</x:f>
      </x:c>
      <x:c r="N22" s="59" t="str">
        <x:f>IF(A22="","",'ÓRDENES-DE-COMPRA'!Q22)</x:f>
      </x:c>
      <x:c r="O22" s="60" t="str">
        <x:f>IF(A22="","",'ÓRDENES-DE-COMPRA'!R22)</x:f>
      </x:c>
      <x:c r="P22" s="46" t="str">
        <x:f>IF(A22="","",'ÓRDENES-DE-COMPRA'!S22)</x:f>
      </x:c>
      <x:c r="Q22" s="76" t="str">
        <x:f>IF(A22="","",IF(OR(N22=0,F22=""),0,MAX('CONFIGURACIÓN'!$B$7-F22,0)))</x:f>
      </x:c>
      <x:c r="R22" s="46" t="str">
        <x:f>IF(A22="","",IF(G22="Cancelada","Sin acción",IF(P22="Vencida","Acción requerida",IF(N22&gt;='CONFIGURACIÓN'!$B$10,"Valor alto",IF(P22="Próxima a vencer","Supervisar","Rutina")))))</x:f>
      </x:c>
    </x:row>
    <x:row r="23">
      <x:c r="A23" s="46" t="str">
        <x:f>IF('ÓRDENES-DE-COMPRA'!A23="","",'ÓRDENES-DE-COMPRA'!A23)</x:f>
      </x:c>
      <x:c r="B23" s="46" t="str">
        <x:f>IF(A23="","",'ÓRDENES-DE-COMPRA'!C23)</x:f>
      </x:c>
      <x:c r="C23" s="46" t="str">
        <x:f>IF(A23="","",'ÓRDENES-DE-COMPRA'!D23)</x:f>
      </x:c>
      <x:c r="D23" s="46" t="str">
        <x:f>IF(A23="","",'ÓRDENES-DE-COMPRA'!E23)</x:f>
      </x:c>
      <x:c r="E23" s="75" t="str">
        <x:f>IF(A23="","",'ÓRDENES-DE-COMPRA'!B23)</x:f>
      </x:c>
      <x:c r="F23" s="75" t="str">
        <x:f>IF(A23="","",'ÓRDENES-DE-COMPRA'!F23)</x:f>
      </x:c>
      <x:c r="G23" s="46" t="str">
        <x:f>IF(A23="","",'ÓRDENES-DE-COMPRA'!H23)</x:f>
      </x:c>
      <x:c r="H23" s="46" t="str">
        <x:f>IF(A23="","",'ÓRDENES-DE-COMPRA'!L23)</x:f>
      </x:c>
      <x:c r="I23" s="59" t="str">
        <x:f>IF(A23="","",'ÓRDENES-DE-COMPRA'!M23)</x:f>
      </x:c>
      <x:c r="J23" s="59" t="str">
        <x:f>IF(A23="","",'ÓRDENES-DE-COMPRA'!N23)</x:f>
      </x:c>
      <x:c r="K23" s="59" t="str">
        <x:f>IF(A23="","",'ÓRDENES-DE-COMPRA'!J23)</x:f>
      </x:c>
      <x:c r="L23" s="59" t="str">
        <x:f>IF(A23="","",'ÓRDENES-DE-COMPRA'!O23)</x:f>
      </x:c>
      <x:c r="M23" s="59" t="str">
        <x:f>IF(A23="","",'ÓRDENES-DE-COMPRA'!P23)</x:f>
      </x:c>
      <x:c r="N23" s="59" t="str">
        <x:f>IF(A23="","",'ÓRDENES-DE-COMPRA'!Q23)</x:f>
      </x:c>
      <x:c r="O23" s="60" t="str">
        <x:f>IF(A23="","",'ÓRDENES-DE-COMPRA'!R23)</x:f>
      </x:c>
      <x:c r="P23" s="46" t="str">
        <x:f>IF(A23="","",'ÓRDENES-DE-COMPRA'!S23)</x:f>
      </x:c>
      <x:c r="Q23" s="76" t="str">
        <x:f>IF(A23="","",IF(OR(N23=0,F23=""),0,MAX('CONFIGURACIÓN'!$B$7-F23,0)))</x:f>
      </x:c>
      <x:c r="R23" s="46" t="str">
        <x:f>IF(A23="","",IF(G23="Cancelada","Sin acción",IF(P23="Vencida","Acción requerida",IF(N23&gt;='CONFIGURACIÓN'!$B$10,"Valor alto",IF(P23="Próxima a vencer","Supervisar","Rutina")))))</x:f>
      </x:c>
    </x:row>
    <x:row r="24">
      <x:c r="A24" s="46" t="str">
        <x:f>IF('ÓRDENES-DE-COMPRA'!A24="","",'ÓRDENES-DE-COMPRA'!A24)</x:f>
      </x:c>
      <x:c r="B24" s="46" t="str">
        <x:f>IF(A24="","",'ÓRDENES-DE-COMPRA'!C24)</x:f>
      </x:c>
      <x:c r="C24" s="46" t="str">
        <x:f>IF(A24="","",'ÓRDENES-DE-COMPRA'!D24)</x:f>
      </x:c>
      <x:c r="D24" s="46" t="str">
        <x:f>IF(A24="","",'ÓRDENES-DE-COMPRA'!E24)</x:f>
      </x:c>
      <x:c r="E24" s="75" t="str">
        <x:f>IF(A24="","",'ÓRDENES-DE-COMPRA'!B24)</x:f>
      </x:c>
      <x:c r="F24" s="75" t="str">
        <x:f>IF(A24="","",'ÓRDENES-DE-COMPRA'!F24)</x:f>
      </x:c>
      <x:c r="G24" s="46" t="str">
        <x:f>IF(A24="","",'ÓRDENES-DE-COMPRA'!H24)</x:f>
      </x:c>
      <x:c r="H24" s="46" t="str">
        <x:f>IF(A24="","",'ÓRDENES-DE-COMPRA'!L24)</x:f>
      </x:c>
      <x:c r="I24" s="59" t="str">
        <x:f>IF(A24="","",'ÓRDENES-DE-COMPRA'!M24)</x:f>
      </x:c>
      <x:c r="J24" s="59" t="str">
        <x:f>IF(A24="","",'ÓRDENES-DE-COMPRA'!N24)</x:f>
      </x:c>
      <x:c r="K24" s="59" t="str">
        <x:f>IF(A24="","",'ÓRDENES-DE-COMPRA'!J24)</x:f>
      </x:c>
      <x:c r="L24" s="59" t="str">
        <x:f>IF(A24="","",'ÓRDENES-DE-COMPRA'!O24)</x:f>
      </x:c>
      <x:c r="M24" s="59" t="str">
        <x:f>IF(A24="","",'ÓRDENES-DE-COMPRA'!P24)</x:f>
      </x:c>
      <x:c r="N24" s="59" t="str">
        <x:f>IF(A24="","",'ÓRDENES-DE-COMPRA'!Q24)</x:f>
      </x:c>
      <x:c r="O24" s="60" t="str">
        <x:f>IF(A24="","",'ÓRDENES-DE-COMPRA'!R24)</x:f>
      </x:c>
      <x:c r="P24" s="46" t="str">
        <x:f>IF(A24="","",'ÓRDENES-DE-COMPRA'!S24)</x:f>
      </x:c>
      <x:c r="Q24" s="76" t="str">
        <x:f>IF(A24="","",IF(OR(N24=0,F24=""),0,MAX('CONFIGURACIÓN'!$B$7-F24,0)))</x:f>
      </x:c>
      <x:c r="R24" s="46" t="str">
        <x:f>IF(A24="","",IF(G24="Cancelada","Sin acción",IF(P24="Vencida","Acción requerida",IF(N24&gt;='CONFIGURACIÓN'!$B$10,"Valor alto",IF(P24="Próxima a vencer","Supervisar","Rutina")))))</x:f>
      </x:c>
    </x:row>
    <x:row r="25">
      <x:c r="A25" s="46" t="str">
        <x:f>IF('ÓRDENES-DE-COMPRA'!A25="","",'ÓRDENES-DE-COMPRA'!A25)</x:f>
      </x:c>
      <x:c r="B25" s="46" t="str">
        <x:f>IF(A25="","",'ÓRDENES-DE-COMPRA'!C25)</x:f>
      </x:c>
      <x:c r="C25" s="46" t="str">
        <x:f>IF(A25="","",'ÓRDENES-DE-COMPRA'!D25)</x:f>
      </x:c>
      <x:c r="D25" s="46" t="str">
        <x:f>IF(A25="","",'ÓRDENES-DE-COMPRA'!E25)</x:f>
      </x:c>
      <x:c r="E25" s="75" t="str">
        <x:f>IF(A25="","",'ÓRDENES-DE-COMPRA'!B25)</x:f>
      </x:c>
      <x:c r="F25" s="75" t="str">
        <x:f>IF(A25="","",'ÓRDENES-DE-COMPRA'!F25)</x:f>
      </x:c>
      <x:c r="G25" s="46" t="str">
        <x:f>IF(A25="","",'ÓRDENES-DE-COMPRA'!H25)</x:f>
      </x:c>
      <x:c r="H25" s="46" t="str">
        <x:f>IF(A25="","",'ÓRDENES-DE-COMPRA'!L25)</x:f>
      </x:c>
      <x:c r="I25" s="59" t="str">
        <x:f>IF(A25="","",'ÓRDENES-DE-COMPRA'!M25)</x:f>
      </x:c>
      <x:c r="J25" s="59" t="str">
        <x:f>IF(A25="","",'ÓRDENES-DE-COMPRA'!N25)</x:f>
      </x:c>
      <x:c r="K25" s="59" t="str">
        <x:f>IF(A25="","",'ÓRDENES-DE-COMPRA'!J25)</x:f>
      </x:c>
      <x:c r="L25" s="59" t="str">
        <x:f>IF(A25="","",'ÓRDENES-DE-COMPRA'!O25)</x:f>
      </x:c>
      <x:c r="M25" s="59" t="str">
        <x:f>IF(A25="","",'ÓRDENES-DE-COMPRA'!P25)</x:f>
      </x:c>
      <x:c r="N25" s="59" t="str">
        <x:f>IF(A25="","",'ÓRDENES-DE-COMPRA'!Q25)</x:f>
      </x:c>
      <x:c r="O25" s="60" t="str">
        <x:f>IF(A25="","",'ÓRDENES-DE-COMPRA'!R25)</x:f>
      </x:c>
      <x:c r="P25" s="46" t="str">
        <x:f>IF(A25="","",'ÓRDENES-DE-COMPRA'!S25)</x:f>
      </x:c>
      <x:c r="Q25" s="76" t="str">
        <x:f>IF(A25="","",IF(OR(N25=0,F25=""),0,MAX('CONFIGURACIÓN'!$B$7-F25,0)))</x:f>
      </x:c>
      <x:c r="R25" s="46" t="str">
        <x:f>IF(A25="","",IF(G25="Cancelada","Sin acción",IF(P25="Vencida","Acción requerida",IF(N25&gt;='CONFIGURACIÓN'!$B$10,"Valor alto",IF(P25="Próxima a vencer","Supervisar","Rutina")))))</x:f>
      </x:c>
    </x:row>
    <x:row r="26">
      <x:c r="A26" s="46" t="str">
        <x:f>IF('ÓRDENES-DE-COMPRA'!A26="","",'ÓRDENES-DE-COMPRA'!A26)</x:f>
      </x:c>
      <x:c r="B26" s="46" t="str">
        <x:f>IF(A26="","",'ÓRDENES-DE-COMPRA'!C26)</x:f>
      </x:c>
      <x:c r="C26" s="46" t="str">
        <x:f>IF(A26="","",'ÓRDENES-DE-COMPRA'!D26)</x:f>
      </x:c>
      <x:c r="D26" s="46" t="str">
        <x:f>IF(A26="","",'ÓRDENES-DE-COMPRA'!E26)</x:f>
      </x:c>
      <x:c r="E26" s="75" t="str">
        <x:f>IF(A26="","",'ÓRDENES-DE-COMPRA'!B26)</x:f>
      </x:c>
      <x:c r="F26" s="75" t="str">
        <x:f>IF(A26="","",'ÓRDENES-DE-COMPRA'!F26)</x:f>
      </x:c>
      <x:c r="G26" s="46" t="str">
        <x:f>IF(A26="","",'ÓRDENES-DE-COMPRA'!H26)</x:f>
      </x:c>
      <x:c r="H26" s="46" t="str">
        <x:f>IF(A26="","",'ÓRDENES-DE-COMPRA'!L26)</x:f>
      </x:c>
      <x:c r="I26" s="59" t="str">
        <x:f>IF(A26="","",'ÓRDENES-DE-COMPRA'!M26)</x:f>
      </x:c>
      <x:c r="J26" s="59" t="str">
        <x:f>IF(A26="","",'ÓRDENES-DE-COMPRA'!N26)</x:f>
      </x:c>
      <x:c r="K26" s="59" t="str">
        <x:f>IF(A26="","",'ÓRDENES-DE-COMPRA'!J26)</x:f>
      </x:c>
      <x:c r="L26" s="59" t="str">
        <x:f>IF(A26="","",'ÓRDENES-DE-COMPRA'!O26)</x:f>
      </x:c>
      <x:c r="M26" s="59" t="str">
        <x:f>IF(A26="","",'ÓRDENES-DE-COMPRA'!P26)</x:f>
      </x:c>
      <x:c r="N26" s="59" t="str">
        <x:f>IF(A26="","",'ÓRDENES-DE-COMPRA'!Q26)</x:f>
      </x:c>
      <x:c r="O26" s="60" t="str">
        <x:f>IF(A26="","",'ÓRDENES-DE-COMPRA'!R26)</x:f>
      </x:c>
      <x:c r="P26" s="46" t="str">
        <x:f>IF(A26="","",'ÓRDENES-DE-COMPRA'!S26)</x:f>
      </x:c>
      <x:c r="Q26" s="76" t="str">
        <x:f>IF(A26="","",IF(OR(N26=0,F26=""),0,MAX('CONFIGURACIÓN'!$B$7-F26,0)))</x:f>
      </x:c>
      <x:c r="R26" s="46" t="str">
        <x:f>IF(A26="","",IF(G26="Cancelada","Sin acción",IF(P26="Vencida","Acción requerida",IF(N26&gt;='CONFIGURACIÓN'!$B$10,"Valor alto",IF(P26="Próxima a vencer","Supervisar","Rutina")))))</x:f>
      </x:c>
    </x:row>
    <x:row r="27">
      <x:c r="A27" s="46" t="str">
        <x:f>IF('ÓRDENES-DE-COMPRA'!A27="","",'ÓRDENES-DE-COMPRA'!A27)</x:f>
      </x:c>
      <x:c r="B27" s="46" t="str">
        <x:f>IF(A27="","",'ÓRDENES-DE-COMPRA'!C27)</x:f>
      </x:c>
      <x:c r="C27" s="46" t="str">
        <x:f>IF(A27="","",'ÓRDENES-DE-COMPRA'!D27)</x:f>
      </x:c>
      <x:c r="D27" s="46" t="str">
        <x:f>IF(A27="","",'ÓRDENES-DE-COMPRA'!E27)</x:f>
      </x:c>
      <x:c r="E27" s="75" t="str">
        <x:f>IF(A27="","",'ÓRDENES-DE-COMPRA'!B27)</x:f>
      </x:c>
      <x:c r="F27" s="75" t="str">
        <x:f>IF(A27="","",'ÓRDENES-DE-COMPRA'!F27)</x:f>
      </x:c>
      <x:c r="G27" s="46" t="str">
        <x:f>IF(A27="","",'ÓRDENES-DE-COMPRA'!H27)</x:f>
      </x:c>
      <x:c r="H27" s="46" t="str">
        <x:f>IF(A27="","",'ÓRDENES-DE-COMPRA'!L27)</x:f>
      </x:c>
      <x:c r="I27" s="59" t="str">
        <x:f>IF(A27="","",'ÓRDENES-DE-COMPRA'!M27)</x:f>
      </x:c>
      <x:c r="J27" s="59" t="str">
        <x:f>IF(A27="","",'ÓRDENES-DE-COMPRA'!N27)</x:f>
      </x:c>
      <x:c r="K27" s="59" t="str">
        <x:f>IF(A27="","",'ÓRDENES-DE-COMPRA'!J27)</x:f>
      </x:c>
      <x:c r="L27" s="59" t="str">
        <x:f>IF(A27="","",'ÓRDENES-DE-COMPRA'!O27)</x:f>
      </x:c>
      <x:c r="M27" s="59" t="str">
        <x:f>IF(A27="","",'ÓRDENES-DE-COMPRA'!P27)</x:f>
      </x:c>
      <x:c r="N27" s="59" t="str">
        <x:f>IF(A27="","",'ÓRDENES-DE-COMPRA'!Q27)</x:f>
      </x:c>
      <x:c r="O27" s="60" t="str">
        <x:f>IF(A27="","",'ÓRDENES-DE-COMPRA'!R27)</x:f>
      </x:c>
      <x:c r="P27" s="46" t="str">
        <x:f>IF(A27="","",'ÓRDENES-DE-COMPRA'!S27)</x:f>
      </x:c>
      <x:c r="Q27" s="76" t="str">
        <x:f>IF(A27="","",IF(OR(N27=0,F27=""),0,MAX('CONFIGURACIÓN'!$B$7-F27,0)))</x:f>
      </x:c>
      <x:c r="R27" s="46" t="str">
        <x:f>IF(A27="","",IF(G27="Cancelada","Sin acción",IF(P27="Vencida","Acción requerida",IF(N27&gt;='CONFIGURACIÓN'!$B$10,"Valor alto",IF(P27="Próxima a vencer","Supervisar","Rutina")))))</x:f>
      </x:c>
    </x:row>
    <x:row r="28">
      <x:c r="A28" s="46" t="str">
        <x:f>IF('ÓRDENES-DE-COMPRA'!A28="","",'ÓRDENES-DE-COMPRA'!A28)</x:f>
      </x:c>
      <x:c r="B28" s="46" t="str">
        <x:f>IF(A28="","",'ÓRDENES-DE-COMPRA'!C28)</x:f>
      </x:c>
      <x:c r="C28" s="46" t="str">
        <x:f>IF(A28="","",'ÓRDENES-DE-COMPRA'!D28)</x:f>
      </x:c>
      <x:c r="D28" s="46" t="str">
        <x:f>IF(A28="","",'ÓRDENES-DE-COMPRA'!E28)</x:f>
      </x:c>
      <x:c r="E28" s="75" t="str">
        <x:f>IF(A28="","",'ÓRDENES-DE-COMPRA'!B28)</x:f>
      </x:c>
      <x:c r="F28" s="75" t="str">
        <x:f>IF(A28="","",'ÓRDENES-DE-COMPRA'!F28)</x:f>
      </x:c>
      <x:c r="G28" s="46" t="str">
        <x:f>IF(A28="","",'ÓRDENES-DE-COMPRA'!H28)</x:f>
      </x:c>
      <x:c r="H28" s="46" t="str">
        <x:f>IF(A28="","",'ÓRDENES-DE-COMPRA'!L28)</x:f>
      </x:c>
      <x:c r="I28" s="59" t="str">
        <x:f>IF(A28="","",'ÓRDENES-DE-COMPRA'!M28)</x:f>
      </x:c>
      <x:c r="J28" s="59" t="str">
        <x:f>IF(A28="","",'ÓRDENES-DE-COMPRA'!N28)</x:f>
      </x:c>
      <x:c r="K28" s="59" t="str">
        <x:f>IF(A28="","",'ÓRDENES-DE-COMPRA'!J28)</x:f>
      </x:c>
      <x:c r="L28" s="59" t="str">
        <x:f>IF(A28="","",'ÓRDENES-DE-COMPRA'!O28)</x:f>
      </x:c>
      <x:c r="M28" s="59" t="str">
        <x:f>IF(A28="","",'ÓRDENES-DE-COMPRA'!P28)</x:f>
      </x:c>
      <x:c r="N28" s="59" t="str">
        <x:f>IF(A28="","",'ÓRDENES-DE-COMPRA'!Q28)</x:f>
      </x:c>
      <x:c r="O28" s="60" t="str">
        <x:f>IF(A28="","",'ÓRDENES-DE-COMPRA'!R28)</x:f>
      </x:c>
      <x:c r="P28" s="46" t="str">
        <x:f>IF(A28="","",'ÓRDENES-DE-COMPRA'!S28)</x:f>
      </x:c>
      <x:c r="Q28" s="76" t="str">
        <x:f>IF(A28="","",IF(OR(N28=0,F28=""),0,MAX('CONFIGURACIÓN'!$B$7-F28,0)))</x:f>
      </x:c>
      <x:c r="R28" s="46" t="str">
        <x:f>IF(A28="","",IF(G28="Cancelada","Sin acción",IF(P28="Vencida","Acción requerida",IF(N28&gt;='CONFIGURACIÓN'!$B$10,"Valor alto",IF(P28="Próxima a vencer","Supervisar","Rutina")))))</x:f>
      </x:c>
    </x:row>
    <x:row r="29">
      <x:c r="A29" s="46" t="str">
        <x:f>IF('ÓRDENES-DE-COMPRA'!A29="","",'ÓRDENES-DE-COMPRA'!A29)</x:f>
      </x:c>
      <x:c r="B29" s="46" t="str">
        <x:f>IF(A29="","",'ÓRDENES-DE-COMPRA'!C29)</x:f>
      </x:c>
      <x:c r="C29" s="46" t="str">
        <x:f>IF(A29="","",'ÓRDENES-DE-COMPRA'!D29)</x:f>
      </x:c>
      <x:c r="D29" s="46" t="str">
        <x:f>IF(A29="","",'ÓRDENES-DE-COMPRA'!E29)</x:f>
      </x:c>
      <x:c r="E29" s="75" t="str">
        <x:f>IF(A29="","",'ÓRDENES-DE-COMPRA'!B29)</x:f>
      </x:c>
      <x:c r="F29" s="75" t="str">
        <x:f>IF(A29="","",'ÓRDENES-DE-COMPRA'!F29)</x:f>
      </x:c>
      <x:c r="G29" s="46" t="str">
        <x:f>IF(A29="","",'ÓRDENES-DE-COMPRA'!H29)</x:f>
      </x:c>
      <x:c r="H29" s="46" t="str">
        <x:f>IF(A29="","",'ÓRDENES-DE-COMPRA'!L29)</x:f>
      </x:c>
      <x:c r="I29" s="59" t="str">
        <x:f>IF(A29="","",'ÓRDENES-DE-COMPRA'!M29)</x:f>
      </x:c>
      <x:c r="J29" s="59" t="str">
        <x:f>IF(A29="","",'ÓRDENES-DE-COMPRA'!N29)</x:f>
      </x:c>
      <x:c r="K29" s="59" t="str">
        <x:f>IF(A29="","",'ÓRDENES-DE-COMPRA'!J29)</x:f>
      </x:c>
      <x:c r="L29" s="59" t="str">
        <x:f>IF(A29="","",'ÓRDENES-DE-COMPRA'!O29)</x:f>
      </x:c>
      <x:c r="M29" s="59" t="str">
        <x:f>IF(A29="","",'ÓRDENES-DE-COMPRA'!P29)</x:f>
      </x:c>
      <x:c r="N29" s="59" t="str">
        <x:f>IF(A29="","",'ÓRDENES-DE-COMPRA'!Q29)</x:f>
      </x:c>
      <x:c r="O29" s="60" t="str">
        <x:f>IF(A29="","",'ÓRDENES-DE-COMPRA'!R29)</x:f>
      </x:c>
      <x:c r="P29" s="46" t="str">
        <x:f>IF(A29="","",'ÓRDENES-DE-COMPRA'!S29)</x:f>
      </x:c>
      <x:c r="Q29" s="76" t="str">
        <x:f>IF(A29="","",IF(OR(N29=0,F29=""),0,MAX('CONFIGURACIÓN'!$B$7-F29,0)))</x:f>
      </x:c>
      <x:c r="R29" s="46" t="str">
        <x:f>IF(A29="","",IF(G29="Cancelada","Sin acción",IF(P29="Vencida","Acción requerida",IF(N29&gt;='CONFIGURACIÓN'!$B$10,"Valor alto",IF(P29="Próxima a vencer","Supervisar","Rutina")))))</x:f>
      </x:c>
    </x:row>
    <x:row r="30">
      <x:c r="A30" s="46" t="str">
        <x:f>IF('ÓRDENES-DE-COMPRA'!A30="","",'ÓRDENES-DE-COMPRA'!A30)</x:f>
      </x:c>
      <x:c r="B30" s="46" t="str">
        <x:f>IF(A30="","",'ÓRDENES-DE-COMPRA'!C30)</x:f>
      </x:c>
      <x:c r="C30" s="46" t="str">
        <x:f>IF(A30="","",'ÓRDENES-DE-COMPRA'!D30)</x:f>
      </x:c>
      <x:c r="D30" s="46" t="str">
        <x:f>IF(A30="","",'ÓRDENES-DE-COMPRA'!E30)</x:f>
      </x:c>
      <x:c r="E30" s="75" t="str">
        <x:f>IF(A30="","",'ÓRDENES-DE-COMPRA'!B30)</x:f>
      </x:c>
      <x:c r="F30" s="75" t="str">
        <x:f>IF(A30="","",'ÓRDENES-DE-COMPRA'!F30)</x:f>
      </x:c>
      <x:c r="G30" s="46" t="str">
        <x:f>IF(A30="","",'ÓRDENES-DE-COMPRA'!H30)</x:f>
      </x:c>
      <x:c r="H30" s="46" t="str">
        <x:f>IF(A30="","",'ÓRDENES-DE-COMPRA'!L30)</x:f>
      </x:c>
      <x:c r="I30" s="59" t="str">
        <x:f>IF(A30="","",'ÓRDENES-DE-COMPRA'!M30)</x:f>
      </x:c>
      <x:c r="J30" s="59" t="str">
        <x:f>IF(A30="","",'ÓRDENES-DE-COMPRA'!N30)</x:f>
      </x:c>
      <x:c r="K30" s="59" t="str">
        <x:f>IF(A30="","",'ÓRDENES-DE-COMPRA'!J30)</x:f>
      </x:c>
      <x:c r="L30" s="59" t="str">
        <x:f>IF(A30="","",'ÓRDENES-DE-COMPRA'!O30)</x:f>
      </x:c>
      <x:c r="M30" s="59" t="str">
        <x:f>IF(A30="","",'ÓRDENES-DE-COMPRA'!P30)</x:f>
      </x:c>
      <x:c r="N30" s="59" t="str">
        <x:f>IF(A30="","",'ÓRDENES-DE-COMPRA'!Q30)</x:f>
      </x:c>
      <x:c r="O30" s="60" t="str">
        <x:f>IF(A30="","",'ÓRDENES-DE-COMPRA'!R30)</x:f>
      </x:c>
      <x:c r="P30" s="46" t="str">
        <x:f>IF(A30="","",'ÓRDENES-DE-COMPRA'!S30)</x:f>
      </x:c>
      <x:c r="Q30" s="76" t="str">
        <x:f>IF(A30="","",IF(OR(N30=0,F30=""),0,MAX('CONFIGURACIÓN'!$B$7-F30,0)))</x:f>
      </x:c>
      <x:c r="R30" s="46" t="str">
        <x:f>IF(A30="","",IF(G30="Cancelada","Sin acción",IF(P30="Vencida","Acción requerida",IF(N30&gt;='CONFIGURACIÓN'!$B$10,"Valor alto",IF(P30="Próxima a vencer","Supervisar","Rutina")))))</x:f>
      </x:c>
    </x:row>
    <x:row r="31">
      <x:c r="A31" s="46" t="str">
        <x:f>IF('ÓRDENES-DE-COMPRA'!A31="","",'ÓRDENES-DE-COMPRA'!A31)</x:f>
      </x:c>
      <x:c r="B31" s="46" t="str">
        <x:f>IF(A31="","",'ÓRDENES-DE-COMPRA'!C31)</x:f>
      </x:c>
      <x:c r="C31" s="46" t="str">
        <x:f>IF(A31="","",'ÓRDENES-DE-COMPRA'!D31)</x:f>
      </x:c>
      <x:c r="D31" s="46" t="str">
        <x:f>IF(A31="","",'ÓRDENES-DE-COMPRA'!E31)</x:f>
      </x:c>
      <x:c r="E31" s="75" t="str">
        <x:f>IF(A31="","",'ÓRDENES-DE-COMPRA'!B31)</x:f>
      </x:c>
      <x:c r="F31" s="75" t="str">
        <x:f>IF(A31="","",'ÓRDENES-DE-COMPRA'!F31)</x:f>
      </x:c>
      <x:c r="G31" s="46" t="str">
        <x:f>IF(A31="","",'ÓRDENES-DE-COMPRA'!H31)</x:f>
      </x:c>
      <x:c r="H31" s="46" t="str">
        <x:f>IF(A31="","",'ÓRDENES-DE-COMPRA'!L31)</x:f>
      </x:c>
      <x:c r="I31" s="59" t="str">
        <x:f>IF(A31="","",'ÓRDENES-DE-COMPRA'!M31)</x:f>
      </x:c>
      <x:c r="J31" s="59" t="str">
        <x:f>IF(A31="","",'ÓRDENES-DE-COMPRA'!N31)</x:f>
      </x:c>
      <x:c r="K31" s="59" t="str">
        <x:f>IF(A31="","",'ÓRDENES-DE-COMPRA'!J31)</x:f>
      </x:c>
      <x:c r="L31" s="59" t="str">
        <x:f>IF(A31="","",'ÓRDENES-DE-COMPRA'!O31)</x:f>
      </x:c>
      <x:c r="M31" s="59" t="str">
        <x:f>IF(A31="","",'ÓRDENES-DE-COMPRA'!P31)</x:f>
      </x:c>
      <x:c r="N31" s="59" t="str">
        <x:f>IF(A31="","",'ÓRDENES-DE-COMPRA'!Q31)</x:f>
      </x:c>
      <x:c r="O31" s="60" t="str">
        <x:f>IF(A31="","",'ÓRDENES-DE-COMPRA'!R31)</x:f>
      </x:c>
      <x:c r="P31" s="46" t="str">
        <x:f>IF(A31="","",'ÓRDENES-DE-COMPRA'!S31)</x:f>
      </x:c>
      <x:c r="Q31" s="76" t="str">
        <x:f>IF(A31="","",IF(OR(N31=0,F31=""),0,MAX('CONFIGURACIÓN'!$B$7-F31,0)))</x:f>
      </x:c>
      <x:c r="R31" s="46" t="str">
        <x:f>IF(A31="","",IF(G31="Cancelada","Sin acción",IF(P31="Vencida","Acción requerida",IF(N31&gt;='CONFIGURACIÓN'!$B$10,"Valor alto",IF(P31="Próxima a vencer","Supervisar","Rutina")))))</x:f>
      </x:c>
    </x:row>
    <x:row r="32">
      <x:c r="A32" s="46" t="str">
        <x:f>IF('ÓRDENES-DE-COMPRA'!A32="","",'ÓRDENES-DE-COMPRA'!A32)</x:f>
      </x:c>
      <x:c r="B32" s="46" t="str">
        <x:f>IF(A32="","",'ÓRDENES-DE-COMPRA'!C32)</x:f>
      </x:c>
      <x:c r="C32" s="46" t="str">
        <x:f>IF(A32="","",'ÓRDENES-DE-COMPRA'!D32)</x:f>
      </x:c>
      <x:c r="D32" s="46" t="str">
        <x:f>IF(A32="","",'ÓRDENES-DE-COMPRA'!E32)</x:f>
      </x:c>
      <x:c r="E32" s="75" t="str">
        <x:f>IF(A32="","",'ÓRDENES-DE-COMPRA'!B32)</x:f>
      </x:c>
      <x:c r="F32" s="75" t="str">
        <x:f>IF(A32="","",'ÓRDENES-DE-COMPRA'!F32)</x:f>
      </x:c>
      <x:c r="G32" s="46" t="str">
        <x:f>IF(A32="","",'ÓRDENES-DE-COMPRA'!H32)</x:f>
      </x:c>
      <x:c r="H32" s="46" t="str">
        <x:f>IF(A32="","",'ÓRDENES-DE-COMPRA'!L32)</x:f>
      </x:c>
      <x:c r="I32" s="59" t="str">
        <x:f>IF(A32="","",'ÓRDENES-DE-COMPRA'!M32)</x:f>
      </x:c>
      <x:c r="J32" s="59" t="str">
        <x:f>IF(A32="","",'ÓRDENES-DE-COMPRA'!N32)</x:f>
      </x:c>
      <x:c r="K32" s="59" t="str">
        <x:f>IF(A32="","",'ÓRDENES-DE-COMPRA'!J32)</x:f>
      </x:c>
      <x:c r="L32" s="59" t="str">
        <x:f>IF(A32="","",'ÓRDENES-DE-COMPRA'!O32)</x:f>
      </x:c>
      <x:c r="M32" s="59" t="str">
        <x:f>IF(A32="","",'ÓRDENES-DE-COMPRA'!P32)</x:f>
      </x:c>
      <x:c r="N32" s="59" t="str">
        <x:f>IF(A32="","",'ÓRDENES-DE-COMPRA'!Q32)</x:f>
      </x:c>
      <x:c r="O32" s="60" t="str">
        <x:f>IF(A32="","",'ÓRDENES-DE-COMPRA'!R32)</x:f>
      </x:c>
      <x:c r="P32" s="46" t="str">
        <x:f>IF(A32="","",'ÓRDENES-DE-COMPRA'!S32)</x:f>
      </x:c>
      <x:c r="Q32" s="76" t="str">
        <x:f>IF(A32="","",IF(OR(N32=0,F32=""),0,MAX('CONFIGURACIÓN'!$B$7-F32,0)))</x:f>
      </x:c>
      <x:c r="R32" s="46" t="str">
        <x:f>IF(A32="","",IF(G32="Cancelada","Sin acción",IF(P32="Vencida","Acción requerida",IF(N32&gt;='CONFIGURACIÓN'!$B$10,"Valor alto",IF(P32="Próxima a vencer","Supervisar","Rutina")))))</x:f>
      </x:c>
    </x:row>
    <x:row r="33">
      <x:c r="A33" s="46" t="str">
        <x:f>IF('ÓRDENES-DE-COMPRA'!A33="","",'ÓRDENES-DE-COMPRA'!A33)</x:f>
      </x:c>
      <x:c r="B33" s="46" t="str">
        <x:f>IF(A33="","",'ÓRDENES-DE-COMPRA'!C33)</x:f>
      </x:c>
      <x:c r="C33" s="46" t="str">
        <x:f>IF(A33="","",'ÓRDENES-DE-COMPRA'!D33)</x:f>
      </x:c>
      <x:c r="D33" s="46" t="str">
        <x:f>IF(A33="","",'ÓRDENES-DE-COMPRA'!E33)</x:f>
      </x:c>
      <x:c r="E33" s="75" t="str">
        <x:f>IF(A33="","",'ÓRDENES-DE-COMPRA'!B33)</x:f>
      </x:c>
      <x:c r="F33" s="75" t="str">
        <x:f>IF(A33="","",'ÓRDENES-DE-COMPRA'!F33)</x:f>
      </x:c>
      <x:c r="G33" s="46" t="str">
        <x:f>IF(A33="","",'ÓRDENES-DE-COMPRA'!H33)</x:f>
      </x:c>
      <x:c r="H33" s="46" t="str">
        <x:f>IF(A33="","",'ÓRDENES-DE-COMPRA'!L33)</x:f>
      </x:c>
      <x:c r="I33" s="59" t="str">
        <x:f>IF(A33="","",'ÓRDENES-DE-COMPRA'!M33)</x:f>
      </x:c>
      <x:c r="J33" s="59" t="str">
        <x:f>IF(A33="","",'ÓRDENES-DE-COMPRA'!N33)</x:f>
      </x:c>
      <x:c r="K33" s="59" t="str">
        <x:f>IF(A33="","",'ÓRDENES-DE-COMPRA'!J33)</x:f>
      </x:c>
      <x:c r="L33" s="59" t="str">
        <x:f>IF(A33="","",'ÓRDENES-DE-COMPRA'!O33)</x:f>
      </x:c>
      <x:c r="M33" s="59" t="str">
        <x:f>IF(A33="","",'ÓRDENES-DE-COMPRA'!P33)</x:f>
      </x:c>
      <x:c r="N33" s="59" t="str">
        <x:f>IF(A33="","",'ÓRDENES-DE-COMPRA'!Q33)</x:f>
      </x:c>
      <x:c r="O33" s="60" t="str">
        <x:f>IF(A33="","",'ÓRDENES-DE-COMPRA'!R33)</x:f>
      </x:c>
      <x:c r="P33" s="46" t="str">
        <x:f>IF(A33="","",'ÓRDENES-DE-COMPRA'!S33)</x:f>
      </x:c>
      <x:c r="Q33" s="76" t="str">
        <x:f>IF(A33="","",IF(OR(N33=0,F33=""),0,MAX('CONFIGURACIÓN'!$B$7-F33,0)))</x:f>
      </x:c>
      <x:c r="R33" s="46" t="str">
        <x:f>IF(A33="","",IF(G33="Cancelada","Sin acción",IF(P33="Vencida","Acción requerida",IF(N33&gt;='CONFIGURACIÓN'!$B$10,"Valor alto",IF(P33="Próxima a vencer","Supervisar","Rutina")))))</x:f>
      </x:c>
    </x:row>
    <x:row r="34">
      <x:c r="A34" s="46" t="str">
        <x:f>IF('ÓRDENES-DE-COMPRA'!A34="","",'ÓRDENES-DE-COMPRA'!A34)</x:f>
      </x:c>
      <x:c r="B34" s="46" t="str">
        <x:f>IF(A34="","",'ÓRDENES-DE-COMPRA'!C34)</x:f>
      </x:c>
      <x:c r="C34" s="46" t="str">
        <x:f>IF(A34="","",'ÓRDENES-DE-COMPRA'!D34)</x:f>
      </x:c>
      <x:c r="D34" s="46" t="str">
        <x:f>IF(A34="","",'ÓRDENES-DE-COMPRA'!E34)</x:f>
      </x:c>
      <x:c r="E34" s="75" t="str">
        <x:f>IF(A34="","",'ÓRDENES-DE-COMPRA'!B34)</x:f>
      </x:c>
      <x:c r="F34" s="75" t="str">
        <x:f>IF(A34="","",'ÓRDENES-DE-COMPRA'!F34)</x:f>
      </x:c>
      <x:c r="G34" s="46" t="str">
        <x:f>IF(A34="","",'ÓRDENES-DE-COMPRA'!H34)</x:f>
      </x:c>
      <x:c r="H34" s="46" t="str">
        <x:f>IF(A34="","",'ÓRDENES-DE-COMPRA'!L34)</x:f>
      </x:c>
      <x:c r="I34" s="59" t="str">
        <x:f>IF(A34="","",'ÓRDENES-DE-COMPRA'!M34)</x:f>
      </x:c>
      <x:c r="J34" s="59" t="str">
        <x:f>IF(A34="","",'ÓRDENES-DE-COMPRA'!N34)</x:f>
      </x:c>
      <x:c r="K34" s="59" t="str">
        <x:f>IF(A34="","",'ÓRDENES-DE-COMPRA'!J34)</x:f>
      </x:c>
      <x:c r="L34" s="59" t="str">
        <x:f>IF(A34="","",'ÓRDENES-DE-COMPRA'!O34)</x:f>
      </x:c>
      <x:c r="M34" s="59" t="str">
        <x:f>IF(A34="","",'ÓRDENES-DE-COMPRA'!P34)</x:f>
      </x:c>
      <x:c r="N34" s="59" t="str">
        <x:f>IF(A34="","",'ÓRDENES-DE-COMPRA'!Q34)</x:f>
      </x:c>
      <x:c r="O34" s="60" t="str">
        <x:f>IF(A34="","",'ÓRDENES-DE-COMPRA'!R34)</x:f>
      </x:c>
      <x:c r="P34" s="46" t="str">
        <x:f>IF(A34="","",'ÓRDENES-DE-COMPRA'!S34)</x:f>
      </x:c>
      <x:c r="Q34" s="76" t="str">
        <x:f>IF(A34="","",IF(OR(N34=0,F34=""),0,MAX('CONFIGURACIÓN'!$B$7-F34,0)))</x:f>
      </x:c>
      <x:c r="R34" s="46" t="str">
        <x:f>IF(A34="","",IF(G34="Cancelada","Sin acción",IF(P34="Vencida","Acción requerida",IF(N34&gt;='CONFIGURACIÓN'!$B$10,"Valor alto",IF(P34="Próxima a vencer","Supervisar","Rutina")))))</x:f>
      </x:c>
    </x:row>
    <x:row r="35">
      <x:c r="A35" s="46" t="str">
        <x:f>IF('ÓRDENES-DE-COMPRA'!A35="","",'ÓRDENES-DE-COMPRA'!A35)</x:f>
      </x:c>
      <x:c r="B35" s="46" t="str">
        <x:f>IF(A35="","",'ÓRDENES-DE-COMPRA'!C35)</x:f>
      </x:c>
      <x:c r="C35" s="46" t="str">
        <x:f>IF(A35="","",'ÓRDENES-DE-COMPRA'!D35)</x:f>
      </x:c>
      <x:c r="D35" s="46" t="str">
        <x:f>IF(A35="","",'ÓRDENES-DE-COMPRA'!E35)</x:f>
      </x:c>
      <x:c r="E35" s="75" t="str">
        <x:f>IF(A35="","",'ÓRDENES-DE-COMPRA'!B35)</x:f>
      </x:c>
      <x:c r="F35" s="75" t="str">
        <x:f>IF(A35="","",'ÓRDENES-DE-COMPRA'!F35)</x:f>
      </x:c>
      <x:c r="G35" s="46" t="str">
        <x:f>IF(A35="","",'ÓRDENES-DE-COMPRA'!H35)</x:f>
      </x:c>
      <x:c r="H35" s="46" t="str">
        <x:f>IF(A35="","",'ÓRDENES-DE-COMPRA'!L35)</x:f>
      </x:c>
      <x:c r="I35" s="59" t="str">
        <x:f>IF(A35="","",'ÓRDENES-DE-COMPRA'!M35)</x:f>
      </x:c>
      <x:c r="J35" s="59" t="str">
        <x:f>IF(A35="","",'ÓRDENES-DE-COMPRA'!N35)</x:f>
      </x:c>
      <x:c r="K35" s="59" t="str">
        <x:f>IF(A35="","",'ÓRDENES-DE-COMPRA'!J35)</x:f>
      </x:c>
      <x:c r="L35" s="59" t="str">
        <x:f>IF(A35="","",'ÓRDENES-DE-COMPRA'!O35)</x:f>
      </x:c>
      <x:c r="M35" s="59" t="str">
        <x:f>IF(A35="","",'ÓRDENES-DE-COMPRA'!P35)</x:f>
      </x:c>
      <x:c r="N35" s="59" t="str">
        <x:f>IF(A35="","",'ÓRDENES-DE-COMPRA'!Q35)</x:f>
      </x:c>
      <x:c r="O35" s="60" t="str">
        <x:f>IF(A35="","",'ÓRDENES-DE-COMPRA'!R35)</x:f>
      </x:c>
      <x:c r="P35" s="46" t="str">
        <x:f>IF(A35="","",'ÓRDENES-DE-COMPRA'!S35)</x:f>
      </x:c>
      <x:c r="Q35" s="76" t="str">
        <x:f>IF(A35="","",IF(OR(N35=0,F35=""),0,MAX('CONFIGURACIÓN'!$B$7-F35,0)))</x:f>
      </x:c>
      <x:c r="R35" s="46" t="str">
        <x:f>IF(A35="","",IF(G35="Cancelada","Sin acción",IF(P35="Vencida","Acción requerida",IF(N35&gt;='CONFIGURACIÓN'!$B$10,"Valor alto",IF(P35="Próxima a vencer","Supervisar","Rutina")))))</x:f>
      </x:c>
    </x:row>
    <x:row r="36">
      <x:c r="A36" s="46" t="str">
        <x:f>IF('ÓRDENES-DE-COMPRA'!A36="","",'ÓRDENES-DE-COMPRA'!A36)</x:f>
      </x:c>
      <x:c r="B36" s="46" t="str">
        <x:f>IF(A36="","",'ÓRDENES-DE-COMPRA'!C36)</x:f>
      </x:c>
      <x:c r="C36" s="46" t="str">
        <x:f>IF(A36="","",'ÓRDENES-DE-COMPRA'!D36)</x:f>
      </x:c>
      <x:c r="D36" s="46" t="str">
        <x:f>IF(A36="","",'ÓRDENES-DE-COMPRA'!E36)</x:f>
      </x:c>
      <x:c r="E36" s="75" t="str">
        <x:f>IF(A36="","",'ÓRDENES-DE-COMPRA'!B36)</x:f>
      </x:c>
      <x:c r="F36" s="75" t="str">
        <x:f>IF(A36="","",'ÓRDENES-DE-COMPRA'!F36)</x:f>
      </x:c>
      <x:c r="G36" s="46" t="str">
        <x:f>IF(A36="","",'ÓRDENES-DE-COMPRA'!H36)</x:f>
      </x:c>
      <x:c r="H36" s="46" t="str">
        <x:f>IF(A36="","",'ÓRDENES-DE-COMPRA'!L36)</x:f>
      </x:c>
      <x:c r="I36" s="59" t="str">
        <x:f>IF(A36="","",'ÓRDENES-DE-COMPRA'!M36)</x:f>
      </x:c>
      <x:c r="J36" s="59" t="str">
        <x:f>IF(A36="","",'ÓRDENES-DE-COMPRA'!N36)</x:f>
      </x:c>
      <x:c r="K36" s="59" t="str">
        <x:f>IF(A36="","",'ÓRDENES-DE-COMPRA'!J36)</x:f>
      </x:c>
      <x:c r="L36" s="59" t="str">
        <x:f>IF(A36="","",'ÓRDENES-DE-COMPRA'!O36)</x:f>
      </x:c>
      <x:c r="M36" s="59" t="str">
        <x:f>IF(A36="","",'ÓRDENES-DE-COMPRA'!P36)</x:f>
      </x:c>
      <x:c r="N36" s="59" t="str">
        <x:f>IF(A36="","",'ÓRDENES-DE-COMPRA'!Q36)</x:f>
      </x:c>
      <x:c r="O36" s="60" t="str">
        <x:f>IF(A36="","",'ÓRDENES-DE-COMPRA'!R36)</x:f>
      </x:c>
      <x:c r="P36" s="46" t="str">
        <x:f>IF(A36="","",'ÓRDENES-DE-COMPRA'!S36)</x:f>
      </x:c>
      <x:c r="Q36" s="76" t="str">
        <x:f>IF(A36="","",IF(OR(N36=0,F36=""),0,MAX('CONFIGURACIÓN'!$B$7-F36,0)))</x:f>
      </x:c>
      <x:c r="R36" s="46" t="str">
        <x:f>IF(A36="","",IF(G36="Cancelada","Sin acción",IF(P36="Vencida","Acción requerida",IF(N36&gt;='CONFIGURACIÓN'!$B$10,"Valor alto",IF(P36="Próxima a vencer","Supervisar","Rutina")))))</x:f>
      </x:c>
    </x:row>
    <x:row r="37">
      <x:c r="A37" s="46" t="str">
        <x:f>IF('ÓRDENES-DE-COMPRA'!A37="","",'ÓRDENES-DE-COMPRA'!A37)</x:f>
      </x:c>
      <x:c r="B37" s="46" t="str">
        <x:f>IF(A37="","",'ÓRDENES-DE-COMPRA'!C37)</x:f>
      </x:c>
      <x:c r="C37" s="46" t="str">
        <x:f>IF(A37="","",'ÓRDENES-DE-COMPRA'!D37)</x:f>
      </x:c>
      <x:c r="D37" s="46" t="str">
        <x:f>IF(A37="","",'ÓRDENES-DE-COMPRA'!E37)</x:f>
      </x:c>
      <x:c r="E37" s="75" t="str">
        <x:f>IF(A37="","",'ÓRDENES-DE-COMPRA'!B37)</x:f>
      </x:c>
      <x:c r="F37" s="75" t="str">
        <x:f>IF(A37="","",'ÓRDENES-DE-COMPRA'!F37)</x:f>
      </x:c>
      <x:c r="G37" s="46" t="str">
        <x:f>IF(A37="","",'ÓRDENES-DE-COMPRA'!H37)</x:f>
      </x:c>
      <x:c r="H37" s="46" t="str">
        <x:f>IF(A37="","",'ÓRDENES-DE-COMPRA'!L37)</x:f>
      </x:c>
      <x:c r="I37" s="59" t="str">
        <x:f>IF(A37="","",'ÓRDENES-DE-COMPRA'!M37)</x:f>
      </x:c>
      <x:c r="J37" s="59" t="str">
        <x:f>IF(A37="","",'ÓRDENES-DE-COMPRA'!N37)</x:f>
      </x:c>
      <x:c r="K37" s="59" t="str">
        <x:f>IF(A37="","",'ÓRDENES-DE-COMPRA'!J37)</x:f>
      </x:c>
      <x:c r="L37" s="59" t="str">
        <x:f>IF(A37="","",'ÓRDENES-DE-COMPRA'!O37)</x:f>
      </x:c>
      <x:c r="M37" s="59" t="str">
        <x:f>IF(A37="","",'ÓRDENES-DE-COMPRA'!P37)</x:f>
      </x:c>
      <x:c r="N37" s="59" t="str">
        <x:f>IF(A37="","",'ÓRDENES-DE-COMPRA'!Q37)</x:f>
      </x:c>
      <x:c r="O37" s="60" t="str">
        <x:f>IF(A37="","",'ÓRDENES-DE-COMPRA'!R37)</x:f>
      </x:c>
      <x:c r="P37" s="46" t="str">
        <x:f>IF(A37="","",'ÓRDENES-DE-COMPRA'!S37)</x:f>
      </x:c>
      <x:c r="Q37" s="76" t="str">
        <x:f>IF(A37="","",IF(OR(N37=0,F37=""),0,MAX('CONFIGURACIÓN'!$B$7-F37,0)))</x:f>
      </x:c>
      <x:c r="R37" s="46" t="str">
        <x:f>IF(A37="","",IF(G37="Cancelada","Sin acción",IF(P37="Vencida","Acción requerida",IF(N37&gt;='CONFIGURACIÓN'!$B$10,"Valor alto",IF(P37="Próxima a vencer","Supervisar","Rutina")))))</x:f>
      </x:c>
    </x:row>
    <x:row r="38">
      <x:c r="A38" s="46" t="str">
        <x:f>IF('ÓRDENES-DE-COMPRA'!A38="","",'ÓRDENES-DE-COMPRA'!A38)</x:f>
      </x:c>
      <x:c r="B38" s="46" t="str">
        <x:f>IF(A38="","",'ÓRDENES-DE-COMPRA'!C38)</x:f>
      </x:c>
      <x:c r="C38" s="46" t="str">
        <x:f>IF(A38="","",'ÓRDENES-DE-COMPRA'!D38)</x:f>
      </x:c>
      <x:c r="D38" s="46" t="str">
        <x:f>IF(A38="","",'ÓRDENES-DE-COMPRA'!E38)</x:f>
      </x:c>
      <x:c r="E38" s="75" t="str">
        <x:f>IF(A38="","",'ÓRDENES-DE-COMPRA'!B38)</x:f>
      </x:c>
      <x:c r="F38" s="75" t="str">
        <x:f>IF(A38="","",'ÓRDENES-DE-COMPRA'!F38)</x:f>
      </x:c>
      <x:c r="G38" s="46" t="str">
        <x:f>IF(A38="","",'ÓRDENES-DE-COMPRA'!H38)</x:f>
      </x:c>
      <x:c r="H38" s="46" t="str">
        <x:f>IF(A38="","",'ÓRDENES-DE-COMPRA'!L38)</x:f>
      </x:c>
      <x:c r="I38" s="59" t="str">
        <x:f>IF(A38="","",'ÓRDENES-DE-COMPRA'!M38)</x:f>
      </x:c>
      <x:c r="J38" s="59" t="str">
        <x:f>IF(A38="","",'ÓRDENES-DE-COMPRA'!N38)</x:f>
      </x:c>
      <x:c r="K38" s="59" t="str">
        <x:f>IF(A38="","",'ÓRDENES-DE-COMPRA'!J38)</x:f>
      </x:c>
      <x:c r="L38" s="59" t="str">
        <x:f>IF(A38="","",'ÓRDENES-DE-COMPRA'!O38)</x:f>
      </x:c>
      <x:c r="M38" s="59" t="str">
        <x:f>IF(A38="","",'ÓRDENES-DE-COMPRA'!P38)</x:f>
      </x:c>
      <x:c r="N38" s="59" t="str">
        <x:f>IF(A38="","",'ÓRDENES-DE-COMPRA'!Q38)</x:f>
      </x:c>
      <x:c r="O38" s="60" t="str">
        <x:f>IF(A38="","",'ÓRDENES-DE-COMPRA'!R38)</x:f>
      </x:c>
      <x:c r="P38" s="46" t="str">
        <x:f>IF(A38="","",'ÓRDENES-DE-COMPRA'!S38)</x:f>
      </x:c>
      <x:c r="Q38" s="76" t="str">
        <x:f>IF(A38="","",IF(OR(N38=0,F38=""),0,MAX('CONFIGURACIÓN'!$B$7-F38,0)))</x:f>
      </x:c>
      <x:c r="R38" s="46" t="str">
        <x:f>IF(A38="","",IF(G38="Cancelada","Sin acción",IF(P38="Vencida","Acción requerida",IF(N38&gt;='CONFIGURACIÓN'!$B$10,"Valor alto",IF(P38="Próxima a vencer","Supervisar","Rutina")))))</x:f>
      </x:c>
    </x:row>
    <x:row r="39">
      <x:c r="A39" s="46" t="str">
        <x:f>IF('ÓRDENES-DE-COMPRA'!A39="","",'ÓRDENES-DE-COMPRA'!A39)</x:f>
      </x:c>
      <x:c r="B39" s="46" t="str">
        <x:f>IF(A39="","",'ÓRDENES-DE-COMPRA'!C39)</x:f>
      </x:c>
      <x:c r="C39" s="46" t="str">
        <x:f>IF(A39="","",'ÓRDENES-DE-COMPRA'!D39)</x:f>
      </x:c>
      <x:c r="D39" s="46" t="str">
        <x:f>IF(A39="","",'ÓRDENES-DE-COMPRA'!E39)</x:f>
      </x:c>
      <x:c r="E39" s="75" t="str">
        <x:f>IF(A39="","",'ÓRDENES-DE-COMPRA'!B39)</x:f>
      </x:c>
      <x:c r="F39" s="75" t="str">
        <x:f>IF(A39="","",'ÓRDENES-DE-COMPRA'!F39)</x:f>
      </x:c>
      <x:c r="G39" s="46" t="str">
        <x:f>IF(A39="","",'ÓRDENES-DE-COMPRA'!H39)</x:f>
      </x:c>
      <x:c r="H39" s="46" t="str">
        <x:f>IF(A39="","",'ÓRDENES-DE-COMPRA'!L39)</x:f>
      </x:c>
      <x:c r="I39" s="59" t="str">
        <x:f>IF(A39="","",'ÓRDENES-DE-COMPRA'!M39)</x:f>
      </x:c>
      <x:c r="J39" s="59" t="str">
        <x:f>IF(A39="","",'ÓRDENES-DE-COMPRA'!N39)</x:f>
      </x:c>
      <x:c r="K39" s="59" t="str">
        <x:f>IF(A39="","",'ÓRDENES-DE-COMPRA'!J39)</x:f>
      </x:c>
      <x:c r="L39" s="59" t="str">
        <x:f>IF(A39="","",'ÓRDENES-DE-COMPRA'!O39)</x:f>
      </x:c>
      <x:c r="M39" s="59" t="str">
        <x:f>IF(A39="","",'ÓRDENES-DE-COMPRA'!P39)</x:f>
      </x:c>
      <x:c r="N39" s="59" t="str">
        <x:f>IF(A39="","",'ÓRDENES-DE-COMPRA'!Q39)</x:f>
      </x:c>
      <x:c r="O39" s="60" t="str">
        <x:f>IF(A39="","",'ÓRDENES-DE-COMPRA'!R39)</x:f>
      </x:c>
      <x:c r="P39" s="46" t="str">
        <x:f>IF(A39="","",'ÓRDENES-DE-COMPRA'!S39)</x:f>
      </x:c>
      <x:c r="Q39" s="76" t="str">
        <x:f>IF(A39="","",IF(OR(N39=0,F39=""),0,MAX('CONFIGURACIÓN'!$B$7-F39,0)))</x:f>
      </x:c>
      <x:c r="R39" s="46" t="str">
        <x:f>IF(A39="","",IF(G39="Cancelada","Sin acción",IF(P39="Vencida","Acción requerida",IF(N39&gt;='CONFIGURACIÓN'!$B$10,"Valor alto",IF(P39="Próxima a vencer","Supervisar","Rutina")))))</x:f>
      </x:c>
    </x:row>
    <x:row r="40">
      <x:c r="A40" s="46" t="str">
        <x:f>IF('ÓRDENES-DE-COMPRA'!A40="","",'ÓRDENES-DE-COMPRA'!A40)</x:f>
      </x:c>
      <x:c r="B40" s="46" t="str">
        <x:f>IF(A40="","",'ÓRDENES-DE-COMPRA'!C40)</x:f>
      </x:c>
      <x:c r="C40" s="46" t="str">
        <x:f>IF(A40="","",'ÓRDENES-DE-COMPRA'!D40)</x:f>
      </x:c>
      <x:c r="D40" s="46" t="str">
        <x:f>IF(A40="","",'ÓRDENES-DE-COMPRA'!E40)</x:f>
      </x:c>
      <x:c r="E40" s="75" t="str">
        <x:f>IF(A40="","",'ÓRDENES-DE-COMPRA'!B40)</x:f>
      </x:c>
      <x:c r="F40" s="75" t="str">
        <x:f>IF(A40="","",'ÓRDENES-DE-COMPRA'!F40)</x:f>
      </x:c>
      <x:c r="G40" s="46" t="str">
        <x:f>IF(A40="","",'ÓRDENES-DE-COMPRA'!H40)</x:f>
      </x:c>
      <x:c r="H40" s="46" t="str">
        <x:f>IF(A40="","",'ÓRDENES-DE-COMPRA'!L40)</x:f>
      </x:c>
      <x:c r="I40" s="59" t="str">
        <x:f>IF(A40="","",'ÓRDENES-DE-COMPRA'!M40)</x:f>
      </x:c>
      <x:c r="J40" s="59" t="str">
        <x:f>IF(A40="","",'ÓRDENES-DE-COMPRA'!N40)</x:f>
      </x:c>
      <x:c r="K40" s="59" t="str">
        <x:f>IF(A40="","",'ÓRDENES-DE-COMPRA'!J40)</x:f>
      </x:c>
      <x:c r="L40" s="59" t="str">
        <x:f>IF(A40="","",'ÓRDENES-DE-COMPRA'!O40)</x:f>
      </x:c>
      <x:c r="M40" s="59" t="str">
        <x:f>IF(A40="","",'ÓRDENES-DE-COMPRA'!P40)</x:f>
      </x:c>
      <x:c r="N40" s="59" t="str">
        <x:f>IF(A40="","",'ÓRDENES-DE-COMPRA'!Q40)</x:f>
      </x:c>
      <x:c r="O40" s="60" t="str">
        <x:f>IF(A40="","",'ÓRDENES-DE-COMPRA'!R40)</x:f>
      </x:c>
      <x:c r="P40" s="46" t="str">
        <x:f>IF(A40="","",'ÓRDENES-DE-COMPRA'!S40)</x:f>
      </x:c>
      <x:c r="Q40" s="76" t="str">
        <x:f>IF(A40="","",IF(OR(N40=0,F40=""),0,MAX('CONFIGURACIÓN'!$B$7-F40,0)))</x:f>
      </x:c>
      <x:c r="R40" s="46" t="str">
        <x:f>IF(A40="","",IF(G40="Cancelada","Sin acción",IF(P40="Vencida","Acción requerida",IF(N40&gt;='CONFIGURACIÓN'!$B$10,"Valor alto",IF(P40="Próxima a vencer","Supervisar","Rutina")))))</x:f>
      </x:c>
    </x:row>
    <x:row r="41">
      <x:c r="A41" s="46" t="str">
        <x:f>IF('ÓRDENES-DE-COMPRA'!A41="","",'ÓRDENES-DE-COMPRA'!A41)</x:f>
      </x:c>
      <x:c r="B41" s="46" t="str">
        <x:f>IF(A41="","",'ÓRDENES-DE-COMPRA'!C41)</x:f>
      </x:c>
      <x:c r="C41" s="46" t="str">
        <x:f>IF(A41="","",'ÓRDENES-DE-COMPRA'!D41)</x:f>
      </x:c>
      <x:c r="D41" s="46" t="str">
        <x:f>IF(A41="","",'ÓRDENES-DE-COMPRA'!E41)</x:f>
      </x:c>
      <x:c r="E41" s="75" t="str">
        <x:f>IF(A41="","",'ÓRDENES-DE-COMPRA'!B41)</x:f>
      </x:c>
      <x:c r="F41" s="75" t="str">
        <x:f>IF(A41="","",'ÓRDENES-DE-COMPRA'!F41)</x:f>
      </x:c>
      <x:c r="G41" s="46" t="str">
        <x:f>IF(A41="","",'ÓRDENES-DE-COMPRA'!H41)</x:f>
      </x:c>
      <x:c r="H41" s="46" t="str">
        <x:f>IF(A41="","",'ÓRDENES-DE-COMPRA'!L41)</x:f>
      </x:c>
      <x:c r="I41" s="59" t="str">
        <x:f>IF(A41="","",'ÓRDENES-DE-COMPRA'!M41)</x:f>
      </x:c>
      <x:c r="J41" s="59" t="str">
        <x:f>IF(A41="","",'ÓRDENES-DE-COMPRA'!N41)</x:f>
      </x:c>
      <x:c r="K41" s="59" t="str">
        <x:f>IF(A41="","",'ÓRDENES-DE-COMPRA'!J41)</x:f>
      </x:c>
      <x:c r="L41" s="59" t="str">
        <x:f>IF(A41="","",'ÓRDENES-DE-COMPRA'!O41)</x:f>
      </x:c>
      <x:c r="M41" s="59" t="str">
        <x:f>IF(A41="","",'ÓRDENES-DE-COMPRA'!P41)</x:f>
      </x:c>
      <x:c r="N41" s="59" t="str">
        <x:f>IF(A41="","",'ÓRDENES-DE-COMPRA'!Q41)</x:f>
      </x:c>
      <x:c r="O41" s="60" t="str">
        <x:f>IF(A41="","",'ÓRDENES-DE-COMPRA'!R41)</x:f>
      </x:c>
      <x:c r="P41" s="46" t="str">
        <x:f>IF(A41="","",'ÓRDENES-DE-COMPRA'!S41)</x:f>
      </x:c>
      <x:c r="Q41" s="76" t="str">
        <x:f>IF(A41="","",IF(OR(N41=0,F41=""),0,MAX('CONFIGURACIÓN'!$B$7-F41,0)))</x:f>
      </x:c>
      <x:c r="R41" s="46" t="str">
        <x:f>IF(A41="","",IF(G41="Cancelada","Sin acción",IF(P41="Vencida","Acción requerida",IF(N41&gt;='CONFIGURACIÓN'!$B$10,"Valor alto",IF(P41="Próxima a vencer","Supervisar","Rutina")))))</x:f>
      </x:c>
    </x:row>
    <x:row r="42">
      <x:c r="A42" s="46" t="str">
        <x:f>IF('ÓRDENES-DE-COMPRA'!A42="","",'ÓRDENES-DE-COMPRA'!A42)</x:f>
      </x:c>
      <x:c r="B42" s="46" t="str">
        <x:f>IF(A42="","",'ÓRDENES-DE-COMPRA'!C42)</x:f>
      </x:c>
      <x:c r="C42" s="46" t="str">
        <x:f>IF(A42="","",'ÓRDENES-DE-COMPRA'!D42)</x:f>
      </x:c>
      <x:c r="D42" s="46" t="str">
        <x:f>IF(A42="","",'ÓRDENES-DE-COMPRA'!E42)</x:f>
      </x:c>
      <x:c r="E42" s="75" t="str">
        <x:f>IF(A42="","",'ÓRDENES-DE-COMPRA'!B42)</x:f>
      </x:c>
      <x:c r="F42" s="75" t="str">
        <x:f>IF(A42="","",'ÓRDENES-DE-COMPRA'!F42)</x:f>
      </x:c>
      <x:c r="G42" s="46" t="str">
        <x:f>IF(A42="","",'ÓRDENES-DE-COMPRA'!H42)</x:f>
      </x:c>
      <x:c r="H42" s="46" t="str">
        <x:f>IF(A42="","",'ÓRDENES-DE-COMPRA'!L42)</x:f>
      </x:c>
      <x:c r="I42" s="59" t="str">
        <x:f>IF(A42="","",'ÓRDENES-DE-COMPRA'!M42)</x:f>
      </x:c>
      <x:c r="J42" s="59" t="str">
        <x:f>IF(A42="","",'ÓRDENES-DE-COMPRA'!N42)</x:f>
      </x:c>
      <x:c r="K42" s="59" t="str">
        <x:f>IF(A42="","",'ÓRDENES-DE-COMPRA'!J42)</x:f>
      </x:c>
      <x:c r="L42" s="59" t="str">
        <x:f>IF(A42="","",'ÓRDENES-DE-COMPRA'!O42)</x:f>
      </x:c>
      <x:c r="M42" s="59" t="str">
        <x:f>IF(A42="","",'ÓRDENES-DE-COMPRA'!P42)</x:f>
      </x:c>
      <x:c r="N42" s="59" t="str">
        <x:f>IF(A42="","",'ÓRDENES-DE-COMPRA'!Q42)</x:f>
      </x:c>
      <x:c r="O42" s="60" t="str">
        <x:f>IF(A42="","",'ÓRDENES-DE-COMPRA'!R42)</x:f>
      </x:c>
      <x:c r="P42" s="46" t="str">
        <x:f>IF(A42="","",'ÓRDENES-DE-COMPRA'!S42)</x:f>
      </x:c>
      <x:c r="Q42" s="76" t="str">
        <x:f>IF(A42="","",IF(OR(N42=0,F42=""),0,MAX('CONFIGURACIÓN'!$B$7-F42,0)))</x:f>
      </x:c>
      <x:c r="R42" s="46" t="str">
        <x:f>IF(A42="","",IF(G42="Cancelada","Sin acción",IF(P42="Vencida","Acción requerida",IF(N42&gt;='CONFIGURACIÓN'!$B$10,"Valor alto",IF(P42="Próxima a vencer","Supervisar","Rutina")))))</x:f>
      </x:c>
    </x:row>
    <x:row r="43">
      <x:c r="A43" s="46" t="str">
        <x:f>IF('ÓRDENES-DE-COMPRA'!A43="","",'ÓRDENES-DE-COMPRA'!A43)</x:f>
      </x:c>
      <x:c r="B43" s="46" t="str">
        <x:f>IF(A43="","",'ÓRDENES-DE-COMPRA'!C43)</x:f>
      </x:c>
      <x:c r="C43" s="46" t="str">
        <x:f>IF(A43="","",'ÓRDENES-DE-COMPRA'!D43)</x:f>
      </x:c>
      <x:c r="D43" s="46" t="str">
        <x:f>IF(A43="","",'ÓRDENES-DE-COMPRA'!E43)</x:f>
      </x:c>
      <x:c r="E43" s="75" t="str">
        <x:f>IF(A43="","",'ÓRDENES-DE-COMPRA'!B43)</x:f>
      </x:c>
      <x:c r="F43" s="75" t="str">
        <x:f>IF(A43="","",'ÓRDENES-DE-COMPRA'!F43)</x:f>
      </x:c>
      <x:c r="G43" s="46" t="str">
        <x:f>IF(A43="","",'ÓRDENES-DE-COMPRA'!H43)</x:f>
      </x:c>
      <x:c r="H43" s="46" t="str">
        <x:f>IF(A43="","",'ÓRDENES-DE-COMPRA'!L43)</x:f>
      </x:c>
      <x:c r="I43" s="59" t="str">
        <x:f>IF(A43="","",'ÓRDENES-DE-COMPRA'!M43)</x:f>
      </x:c>
      <x:c r="J43" s="59" t="str">
        <x:f>IF(A43="","",'ÓRDENES-DE-COMPRA'!N43)</x:f>
      </x:c>
      <x:c r="K43" s="59" t="str">
        <x:f>IF(A43="","",'ÓRDENES-DE-COMPRA'!J43)</x:f>
      </x:c>
      <x:c r="L43" s="59" t="str">
        <x:f>IF(A43="","",'ÓRDENES-DE-COMPRA'!O43)</x:f>
      </x:c>
      <x:c r="M43" s="59" t="str">
        <x:f>IF(A43="","",'ÓRDENES-DE-COMPRA'!P43)</x:f>
      </x:c>
      <x:c r="N43" s="59" t="str">
        <x:f>IF(A43="","",'ÓRDENES-DE-COMPRA'!Q43)</x:f>
      </x:c>
      <x:c r="O43" s="60" t="str">
        <x:f>IF(A43="","",'ÓRDENES-DE-COMPRA'!R43)</x:f>
      </x:c>
      <x:c r="P43" s="46" t="str">
        <x:f>IF(A43="","",'ÓRDENES-DE-COMPRA'!S43)</x:f>
      </x:c>
      <x:c r="Q43" s="76" t="str">
        <x:f>IF(A43="","",IF(OR(N43=0,F43=""),0,MAX('CONFIGURACIÓN'!$B$7-F43,0)))</x:f>
      </x:c>
      <x:c r="R43" s="46" t="str">
        <x:f>IF(A43="","",IF(G43="Cancelada","Sin acción",IF(P43="Vencida","Acción requerida",IF(N43&gt;='CONFIGURACIÓN'!$B$10,"Valor alto",IF(P43="Próxima a vencer","Supervisar","Rutina")))))</x:f>
      </x:c>
    </x:row>
    <x:row r="44">
      <x:c r="A44" s="46" t="str">
        <x:f>IF('ÓRDENES-DE-COMPRA'!A44="","",'ÓRDENES-DE-COMPRA'!A44)</x:f>
      </x:c>
      <x:c r="B44" s="46" t="str">
        <x:f>IF(A44="","",'ÓRDENES-DE-COMPRA'!C44)</x:f>
      </x:c>
      <x:c r="C44" s="46" t="str">
        <x:f>IF(A44="","",'ÓRDENES-DE-COMPRA'!D44)</x:f>
      </x:c>
      <x:c r="D44" s="46" t="str">
        <x:f>IF(A44="","",'ÓRDENES-DE-COMPRA'!E44)</x:f>
      </x:c>
      <x:c r="E44" s="75" t="str">
        <x:f>IF(A44="","",'ÓRDENES-DE-COMPRA'!B44)</x:f>
      </x:c>
      <x:c r="F44" s="75" t="str">
        <x:f>IF(A44="","",'ÓRDENES-DE-COMPRA'!F44)</x:f>
      </x:c>
      <x:c r="G44" s="46" t="str">
        <x:f>IF(A44="","",'ÓRDENES-DE-COMPRA'!H44)</x:f>
      </x:c>
      <x:c r="H44" s="46" t="str">
        <x:f>IF(A44="","",'ÓRDENES-DE-COMPRA'!L44)</x:f>
      </x:c>
      <x:c r="I44" s="59" t="str">
        <x:f>IF(A44="","",'ÓRDENES-DE-COMPRA'!M44)</x:f>
      </x:c>
      <x:c r="J44" s="59" t="str">
        <x:f>IF(A44="","",'ÓRDENES-DE-COMPRA'!N44)</x:f>
      </x:c>
      <x:c r="K44" s="59" t="str">
        <x:f>IF(A44="","",'ÓRDENES-DE-COMPRA'!J44)</x:f>
      </x:c>
      <x:c r="L44" s="59" t="str">
        <x:f>IF(A44="","",'ÓRDENES-DE-COMPRA'!O44)</x:f>
      </x:c>
      <x:c r="M44" s="59" t="str">
        <x:f>IF(A44="","",'ÓRDENES-DE-COMPRA'!P44)</x:f>
      </x:c>
      <x:c r="N44" s="59" t="str">
        <x:f>IF(A44="","",'ÓRDENES-DE-COMPRA'!Q44)</x:f>
      </x:c>
      <x:c r="O44" s="60" t="str">
        <x:f>IF(A44="","",'ÓRDENES-DE-COMPRA'!R44)</x:f>
      </x:c>
      <x:c r="P44" s="46" t="str">
        <x:f>IF(A44="","",'ÓRDENES-DE-COMPRA'!S44)</x:f>
      </x:c>
      <x:c r="Q44" s="76" t="str">
        <x:f>IF(A44="","",IF(OR(N44=0,F44=""),0,MAX('CONFIGURACIÓN'!$B$7-F44,0)))</x:f>
      </x:c>
      <x:c r="R44" s="46" t="str">
        <x:f>IF(A44="","",IF(G44="Cancelada","Sin acción",IF(P44="Vencida","Acción requerida",IF(N44&gt;='CONFIGURACIÓN'!$B$10,"Valor alto",IF(P44="Próxima a vencer","Supervisar","Rutina")))))</x:f>
      </x:c>
    </x:row>
    <x:row r="45">
      <x:c r="A45" s="46" t="str">
        <x:f>IF('ÓRDENES-DE-COMPRA'!A45="","",'ÓRDENES-DE-COMPRA'!A45)</x:f>
      </x:c>
      <x:c r="B45" s="46" t="str">
        <x:f>IF(A45="","",'ÓRDENES-DE-COMPRA'!C45)</x:f>
      </x:c>
      <x:c r="C45" s="46" t="str">
        <x:f>IF(A45="","",'ÓRDENES-DE-COMPRA'!D45)</x:f>
      </x:c>
      <x:c r="D45" s="46" t="str">
        <x:f>IF(A45="","",'ÓRDENES-DE-COMPRA'!E45)</x:f>
      </x:c>
      <x:c r="E45" s="75" t="str">
        <x:f>IF(A45="","",'ÓRDENES-DE-COMPRA'!B45)</x:f>
      </x:c>
      <x:c r="F45" s="75" t="str">
        <x:f>IF(A45="","",'ÓRDENES-DE-COMPRA'!F45)</x:f>
      </x:c>
      <x:c r="G45" s="46" t="str">
        <x:f>IF(A45="","",'ÓRDENES-DE-COMPRA'!H45)</x:f>
      </x:c>
      <x:c r="H45" s="46" t="str">
        <x:f>IF(A45="","",'ÓRDENES-DE-COMPRA'!L45)</x:f>
      </x:c>
      <x:c r="I45" s="59" t="str">
        <x:f>IF(A45="","",'ÓRDENES-DE-COMPRA'!M45)</x:f>
      </x:c>
      <x:c r="J45" s="59" t="str">
        <x:f>IF(A45="","",'ÓRDENES-DE-COMPRA'!N45)</x:f>
      </x:c>
      <x:c r="K45" s="59" t="str">
        <x:f>IF(A45="","",'ÓRDENES-DE-COMPRA'!J45)</x:f>
      </x:c>
      <x:c r="L45" s="59" t="str">
        <x:f>IF(A45="","",'ÓRDENES-DE-COMPRA'!O45)</x:f>
      </x:c>
      <x:c r="M45" s="59" t="str">
        <x:f>IF(A45="","",'ÓRDENES-DE-COMPRA'!P45)</x:f>
      </x:c>
      <x:c r="N45" s="59" t="str">
        <x:f>IF(A45="","",'ÓRDENES-DE-COMPRA'!Q45)</x:f>
      </x:c>
      <x:c r="O45" s="60" t="str">
        <x:f>IF(A45="","",'ÓRDENES-DE-COMPRA'!R45)</x:f>
      </x:c>
      <x:c r="P45" s="46" t="str">
        <x:f>IF(A45="","",'ÓRDENES-DE-COMPRA'!S45)</x:f>
      </x:c>
      <x:c r="Q45" s="76" t="str">
        <x:f>IF(A45="","",IF(OR(N45=0,F45=""),0,MAX('CONFIGURACIÓN'!$B$7-F45,0)))</x:f>
      </x:c>
      <x:c r="R45" s="46" t="str">
        <x:f>IF(A45="","",IF(G45="Cancelada","Sin acción",IF(P45="Vencida","Acción requerida",IF(N45&gt;='CONFIGURACIÓN'!$B$10,"Valor alto",IF(P45="Próxima a vencer","Supervisar","Rutina")))))</x:f>
      </x:c>
    </x:row>
    <x:row r="46">
      <x:c r="A46" s="46" t="str">
        <x:f>IF('ÓRDENES-DE-COMPRA'!A46="","",'ÓRDENES-DE-COMPRA'!A46)</x:f>
      </x:c>
      <x:c r="B46" s="46" t="str">
        <x:f>IF(A46="","",'ÓRDENES-DE-COMPRA'!C46)</x:f>
      </x:c>
      <x:c r="C46" s="46" t="str">
        <x:f>IF(A46="","",'ÓRDENES-DE-COMPRA'!D46)</x:f>
      </x:c>
      <x:c r="D46" s="46" t="str">
        <x:f>IF(A46="","",'ÓRDENES-DE-COMPRA'!E46)</x:f>
      </x:c>
      <x:c r="E46" s="75" t="str">
        <x:f>IF(A46="","",'ÓRDENES-DE-COMPRA'!B46)</x:f>
      </x:c>
      <x:c r="F46" s="75" t="str">
        <x:f>IF(A46="","",'ÓRDENES-DE-COMPRA'!F46)</x:f>
      </x:c>
      <x:c r="G46" s="46" t="str">
        <x:f>IF(A46="","",'ÓRDENES-DE-COMPRA'!H46)</x:f>
      </x:c>
      <x:c r="H46" s="46" t="str">
        <x:f>IF(A46="","",'ÓRDENES-DE-COMPRA'!L46)</x:f>
      </x:c>
      <x:c r="I46" s="59" t="str">
        <x:f>IF(A46="","",'ÓRDENES-DE-COMPRA'!M46)</x:f>
      </x:c>
      <x:c r="J46" s="59" t="str">
        <x:f>IF(A46="","",'ÓRDENES-DE-COMPRA'!N46)</x:f>
      </x:c>
      <x:c r="K46" s="59" t="str">
        <x:f>IF(A46="","",'ÓRDENES-DE-COMPRA'!J46)</x:f>
      </x:c>
      <x:c r="L46" s="59" t="str">
        <x:f>IF(A46="","",'ÓRDENES-DE-COMPRA'!O46)</x:f>
      </x:c>
      <x:c r="M46" s="59" t="str">
        <x:f>IF(A46="","",'ÓRDENES-DE-COMPRA'!P46)</x:f>
      </x:c>
      <x:c r="N46" s="59" t="str">
        <x:f>IF(A46="","",'ÓRDENES-DE-COMPRA'!Q46)</x:f>
      </x:c>
      <x:c r="O46" s="60" t="str">
        <x:f>IF(A46="","",'ÓRDENES-DE-COMPRA'!R46)</x:f>
      </x:c>
      <x:c r="P46" s="46" t="str">
        <x:f>IF(A46="","",'ÓRDENES-DE-COMPRA'!S46)</x:f>
      </x:c>
      <x:c r="Q46" s="76" t="str">
        <x:f>IF(A46="","",IF(OR(N46=0,F46=""),0,MAX('CONFIGURACIÓN'!$B$7-F46,0)))</x:f>
      </x:c>
      <x:c r="R46" s="46" t="str">
        <x:f>IF(A46="","",IF(G46="Cancelada","Sin acción",IF(P46="Vencida","Acción requerida",IF(N46&gt;='CONFIGURACIÓN'!$B$10,"Valor alto",IF(P46="Próxima a vencer","Supervisar","Rutina")))))</x:f>
      </x:c>
    </x:row>
    <x:row r="47">
      <x:c r="A47" s="46" t="str">
        <x:f>IF('ÓRDENES-DE-COMPRA'!A47="","",'ÓRDENES-DE-COMPRA'!A47)</x:f>
      </x:c>
      <x:c r="B47" s="46" t="str">
        <x:f>IF(A47="","",'ÓRDENES-DE-COMPRA'!C47)</x:f>
      </x:c>
      <x:c r="C47" s="46" t="str">
        <x:f>IF(A47="","",'ÓRDENES-DE-COMPRA'!D47)</x:f>
      </x:c>
      <x:c r="D47" s="46" t="str">
        <x:f>IF(A47="","",'ÓRDENES-DE-COMPRA'!E47)</x:f>
      </x:c>
      <x:c r="E47" s="75" t="str">
        <x:f>IF(A47="","",'ÓRDENES-DE-COMPRA'!B47)</x:f>
      </x:c>
      <x:c r="F47" s="75" t="str">
        <x:f>IF(A47="","",'ÓRDENES-DE-COMPRA'!F47)</x:f>
      </x:c>
      <x:c r="G47" s="46" t="str">
        <x:f>IF(A47="","",'ÓRDENES-DE-COMPRA'!H47)</x:f>
      </x:c>
      <x:c r="H47" s="46" t="str">
        <x:f>IF(A47="","",'ÓRDENES-DE-COMPRA'!L47)</x:f>
      </x:c>
      <x:c r="I47" s="59" t="str">
        <x:f>IF(A47="","",'ÓRDENES-DE-COMPRA'!M47)</x:f>
      </x:c>
      <x:c r="J47" s="59" t="str">
        <x:f>IF(A47="","",'ÓRDENES-DE-COMPRA'!N47)</x:f>
      </x:c>
      <x:c r="K47" s="59" t="str">
        <x:f>IF(A47="","",'ÓRDENES-DE-COMPRA'!J47)</x:f>
      </x:c>
      <x:c r="L47" s="59" t="str">
        <x:f>IF(A47="","",'ÓRDENES-DE-COMPRA'!O47)</x:f>
      </x:c>
      <x:c r="M47" s="59" t="str">
        <x:f>IF(A47="","",'ÓRDENES-DE-COMPRA'!P47)</x:f>
      </x:c>
      <x:c r="N47" s="59" t="str">
        <x:f>IF(A47="","",'ÓRDENES-DE-COMPRA'!Q47)</x:f>
      </x:c>
      <x:c r="O47" s="60" t="str">
        <x:f>IF(A47="","",'ÓRDENES-DE-COMPRA'!R47)</x:f>
      </x:c>
      <x:c r="P47" s="46" t="str">
        <x:f>IF(A47="","",'ÓRDENES-DE-COMPRA'!S47)</x:f>
      </x:c>
      <x:c r="Q47" s="76" t="str">
        <x:f>IF(A47="","",IF(OR(N47=0,F47=""),0,MAX('CONFIGURACIÓN'!$B$7-F47,0)))</x:f>
      </x:c>
      <x:c r="R47" s="46" t="str">
        <x:f>IF(A47="","",IF(G47="Cancelada","Sin acción",IF(P47="Vencida","Acción requerida",IF(N47&gt;='CONFIGURACIÓN'!$B$10,"Valor alto",IF(P47="Próxima a vencer","Supervisar","Rutina")))))</x:f>
      </x:c>
    </x:row>
    <x:row r="48">
      <x:c r="A48" s="46" t="str">
        <x:f>IF('ÓRDENES-DE-COMPRA'!A48="","",'ÓRDENES-DE-COMPRA'!A48)</x:f>
      </x:c>
      <x:c r="B48" s="46" t="str">
        <x:f>IF(A48="","",'ÓRDENES-DE-COMPRA'!C48)</x:f>
      </x:c>
      <x:c r="C48" s="46" t="str">
        <x:f>IF(A48="","",'ÓRDENES-DE-COMPRA'!D48)</x:f>
      </x:c>
      <x:c r="D48" s="46" t="str">
        <x:f>IF(A48="","",'ÓRDENES-DE-COMPRA'!E48)</x:f>
      </x:c>
      <x:c r="E48" s="75" t="str">
        <x:f>IF(A48="","",'ÓRDENES-DE-COMPRA'!B48)</x:f>
      </x:c>
      <x:c r="F48" s="75" t="str">
        <x:f>IF(A48="","",'ÓRDENES-DE-COMPRA'!F48)</x:f>
      </x:c>
      <x:c r="G48" s="46" t="str">
        <x:f>IF(A48="","",'ÓRDENES-DE-COMPRA'!H48)</x:f>
      </x:c>
      <x:c r="H48" s="46" t="str">
        <x:f>IF(A48="","",'ÓRDENES-DE-COMPRA'!L48)</x:f>
      </x:c>
      <x:c r="I48" s="59" t="str">
        <x:f>IF(A48="","",'ÓRDENES-DE-COMPRA'!M48)</x:f>
      </x:c>
      <x:c r="J48" s="59" t="str">
        <x:f>IF(A48="","",'ÓRDENES-DE-COMPRA'!N48)</x:f>
      </x:c>
      <x:c r="K48" s="59" t="str">
        <x:f>IF(A48="","",'ÓRDENES-DE-COMPRA'!J48)</x:f>
      </x:c>
      <x:c r="L48" s="59" t="str">
        <x:f>IF(A48="","",'ÓRDENES-DE-COMPRA'!O48)</x:f>
      </x:c>
      <x:c r="M48" s="59" t="str">
        <x:f>IF(A48="","",'ÓRDENES-DE-COMPRA'!P48)</x:f>
      </x:c>
      <x:c r="N48" s="59" t="str">
        <x:f>IF(A48="","",'ÓRDENES-DE-COMPRA'!Q48)</x:f>
      </x:c>
      <x:c r="O48" s="60" t="str">
        <x:f>IF(A48="","",'ÓRDENES-DE-COMPRA'!R48)</x:f>
      </x:c>
      <x:c r="P48" s="46" t="str">
        <x:f>IF(A48="","",'ÓRDENES-DE-COMPRA'!S48)</x:f>
      </x:c>
      <x:c r="Q48" s="76" t="str">
        <x:f>IF(A48="","",IF(OR(N48=0,F48=""),0,MAX('CONFIGURACIÓN'!$B$7-F48,0)))</x:f>
      </x:c>
      <x:c r="R48" s="46" t="str">
        <x:f>IF(A48="","",IF(G48="Cancelada","Sin acción",IF(P48="Vencida","Acción requerida",IF(N48&gt;='CONFIGURACIÓN'!$B$10,"Valor alto",IF(P48="Próxima a vencer","Supervisar","Rutina")))))</x:f>
      </x:c>
    </x:row>
    <x:row r="49">
      <x:c r="A49" s="46" t="str">
        <x:f>IF('ÓRDENES-DE-COMPRA'!A49="","",'ÓRDENES-DE-COMPRA'!A49)</x:f>
      </x:c>
      <x:c r="B49" s="46" t="str">
        <x:f>IF(A49="","",'ÓRDENES-DE-COMPRA'!C49)</x:f>
      </x:c>
      <x:c r="C49" s="46" t="str">
        <x:f>IF(A49="","",'ÓRDENES-DE-COMPRA'!D49)</x:f>
      </x:c>
      <x:c r="D49" s="46" t="str">
        <x:f>IF(A49="","",'ÓRDENES-DE-COMPRA'!E49)</x:f>
      </x:c>
      <x:c r="E49" s="75" t="str">
        <x:f>IF(A49="","",'ÓRDENES-DE-COMPRA'!B49)</x:f>
      </x:c>
      <x:c r="F49" s="75" t="str">
        <x:f>IF(A49="","",'ÓRDENES-DE-COMPRA'!F49)</x:f>
      </x:c>
      <x:c r="G49" s="46" t="str">
        <x:f>IF(A49="","",'ÓRDENES-DE-COMPRA'!H49)</x:f>
      </x:c>
      <x:c r="H49" s="46" t="str">
        <x:f>IF(A49="","",'ÓRDENES-DE-COMPRA'!L49)</x:f>
      </x:c>
      <x:c r="I49" s="59" t="str">
        <x:f>IF(A49="","",'ÓRDENES-DE-COMPRA'!M49)</x:f>
      </x:c>
      <x:c r="J49" s="59" t="str">
        <x:f>IF(A49="","",'ÓRDENES-DE-COMPRA'!N49)</x:f>
      </x:c>
      <x:c r="K49" s="59" t="str">
        <x:f>IF(A49="","",'ÓRDENES-DE-COMPRA'!J49)</x:f>
      </x:c>
      <x:c r="L49" s="59" t="str">
        <x:f>IF(A49="","",'ÓRDENES-DE-COMPRA'!O49)</x:f>
      </x:c>
      <x:c r="M49" s="59" t="str">
        <x:f>IF(A49="","",'ÓRDENES-DE-COMPRA'!P49)</x:f>
      </x:c>
      <x:c r="N49" s="59" t="str">
        <x:f>IF(A49="","",'ÓRDENES-DE-COMPRA'!Q49)</x:f>
      </x:c>
      <x:c r="O49" s="60" t="str">
        <x:f>IF(A49="","",'ÓRDENES-DE-COMPRA'!R49)</x:f>
      </x:c>
      <x:c r="P49" s="46" t="str">
        <x:f>IF(A49="","",'ÓRDENES-DE-COMPRA'!S49)</x:f>
      </x:c>
      <x:c r="Q49" s="76" t="str">
        <x:f>IF(A49="","",IF(OR(N49=0,F49=""),0,MAX('CONFIGURACIÓN'!$B$7-F49,0)))</x:f>
      </x:c>
      <x:c r="R49" s="46" t="str">
        <x:f>IF(A49="","",IF(G49="Cancelada","Sin acción",IF(P49="Vencida","Acción requerida",IF(N49&gt;='CONFIGURACIÓN'!$B$10,"Valor alto",IF(P49="Próxima a vencer","Supervisar","Rutina")))))</x:f>
      </x:c>
    </x:row>
    <x:row r="50">
      <x:c r="A50" s="46" t="str">
        <x:f>IF('ÓRDENES-DE-COMPRA'!A50="","",'ÓRDENES-DE-COMPRA'!A50)</x:f>
      </x:c>
      <x:c r="B50" s="46" t="str">
        <x:f>IF(A50="","",'ÓRDENES-DE-COMPRA'!C50)</x:f>
      </x:c>
      <x:c r="C50" s="46" t="str">
        <x:f>IF(A50="","",'ÓRDENES-DE-COMPRA'!D50)</x:f>
      </x:c>
      <x:c r="D50" s="46" t="str">
        <x:f>IF(A50="","",'ÓRDENES-DE-COMPRA'!E50)</x:f>
      </x:c>
      <x:c r="E50" s="75" t="str">
        <x:f>IF(A50="","",'ÓRDENES-DE-COMPRA'!B50)</x:f>
      </x:c>
      <x:c r="F50" s="75" t="str">
        <x:f>IF(A50="","",'ÓRDENES-DE-COMPRA'!F50)</x:f>
      </x:c>
      <x:c r="G50" s="46" t="str">
        <x:f>IF(A50="","",'ÓRDENES-DE-COMPRA'!H50)</x:f>
      </x:c>
      <x:c r="H50" s="46" t="str">
        <x:f>IF(A50="","",'ÓRDENES-DE-COMPRA'!L50)</x:f>
      </x:c>
      <x:c r="I50" s="59" t="str">
        <x:f>IF(A50="","",'ÓRDENES-DE-COMPRA'!M50)</x:f>
      </x:c>
      <x:c r="J50" s="59" t="str">
        <x:f>IF(A50="","",'ÓRDENES-DE-COMPRA'!N50)</x:f>
      </x:c>
      <x:c r="K50" s="59" t="str">
        <x:f>IF(A50="","",'ÓRDENES-DE-COMPRA'!J50)</x:f>
      </x:c>
      <x:c r="L50" s="59" t="str">
        <x:f>IF(A50="","",'ÓRDENES-DE-COMPRA'!O50)</x:f>
      </x:c>
      <x:c r="M50" s="59" t="str">
        <x:f>IF(A50="","",'ÓRDENES-DE-COMPRA'!P50)</x:f>
      </x:c>
      <x:c r="N50" s="59" t="str">
        <x:f>IF(A50="","",'ÓRDENES-DE-COMPRA'!Q50)</x:f>
      </x:c>
      <x:c r="O50" s="60" t="str">
        <x:f>IF(A50="","",'ÓRDENES-DE-COMPRA'!R50)</x:f>
      </x:c>
      <x:c r="P50" s="46" t="str">
        <x:f>IF(A50="","",'ÓRDENES-DE-COMPRA'!S50)</x:f>
      </x:c>
      <x:c r="Q50" s="76" t="str">
        <x:f>IF(A50="","",IF(OR(N50=0,F50=""),0,MAX('CONFIGURACIÓN'!$B$7-F50,0)))</x:f>
      </x:c>
      <x:c r="R50" s="46" t="str">
        <x:f>IF(A50="","",IF(G50="Cancelada","Sin acción",IF(P50="Vencida","Acción requerida",IF(N50&gt;='CONFIGURACIÓN'!$B$10,"Valor alto",IF(P50="Próxima a vencer","Supervisar","Rutina")))))</x:f>
      </x:c>
    </x:row>
    <x:row r="51">
      <x:c r="A51" s="46" t="str">
        <x:f>IF('ÓRDENES-DE-COMPRA'!A51="","",'ÓRDENES-DE-COMPRA'!A51)</x:f>
      </x:c>
      <x:c r="B51" s="46" t="str">
        <x:f>IF(A51="","",'ÓRDENES-DE-COMPRA'!C51)</x:f>
      </x:c>
      <x:c r="C51" s="46" t="str">
        <x:f>IF(A51="","",'ÓRDENES-DE-COMPRA'!D51)</x:f>
      </x:c>
      <x:c r="D51" s="46" t="str">
        <x:f>IF(A51="","",'ÓRDENES-DE-COMPRA'!E51)</x:f>
      </x:c>
      <x:c r="E51" s="75" t="str">
        <x:f>IF(A51="","",'ÓRDENES-DE-COMPRA'!B51)</x:f>
      </x:c>
      <x:c r="F51" s="75" t="str">
        <x:f>IF(A51="","",'ÓRDENES-DE-COMPRA'!F51)</x:f>
      </x:c>
      <x:c r="G51" s="46" t="str">
        <x:f>IF(A51="","",'ÓRDENES-DE-COMPRA'!H51)</x:f>
      </x:c>
      <x:c r="H51" s="46" t="str">
        <x:f>IF(A51="","",'ÓRDENES-DE-COMPRA'!L51)</x:f>
      </x:c>
      <x:c r="I51" s="59" t="str">
        <x:f>IF(A51="","",'ÓRDENES-DE-COMPRA'!M51)</x:f>
      </x:c>
      <x:c r="J51" s="59" t="str">
        <x:f>IF(A51="","",'ÓRDENES-DE-COMPRA'!N51)</x:f>
      </x:c>
      <x:c r="K51" s="59" t="str">
        <x:f>IF(A51="","",'ÓRDENES-DE-COMPRA'!J51)</x:f>
      </x:c>
      <x:c r="L51" s="59" t="str">
        <x:f>IF(A51="","",'ÓRDENES-DE-COMPRA'!O51)</x:f>
      </x:c>
      <x:c r="M51" s="59" t="str">
        <x:f>IF(A51="","",'ÓRDENES-DE-COMPRA'!P51)</x:f>
      </x:c>
      <x:c r="N51" s="59" t="str">
        <x:f>IF(A51="","",'ÓRDENES-DE-COMPRA'!Q51)</x:f>
      </x:c>
      <x:c r="O51" s="60" t="str">
        <x:f>IF(A51="","",'ÓRDENES-DE-COMPRA'!R51)</x:f>
      </x:c>
      <x:c r="P51" s="46" t="str">
        <x:f>IF(A51="","",'ÓRDENES-DE-COMPRA'!S51)</x:f>
      </x:c>
      <x:c r="Q51" s="76" t="str">
        <x:f>IF(A51="","",IF(OR(N51=0,F51=""),0,MAX('CONFIGURACIÓN'!$B$7-F51,0)))</x:f>
      </x:c>
      <x:c r="R51" s="46" t="str">
        <x:f>IF(A51="","",IF(G51="Cancelada","Sin acción",IF(P51="Vencida","Acción requerida",IF(N51&gt;='CONFIGURACIÓN'!$B$10,"Valor alto",IF(P51="Próxima a vencer","Supervisar","Rutina")))))</x:f>
      </x:c>
    </x:row>
    <x:row r="52">
      <x:c r="A52" s="46" t="str">
        <x:f>IF('ÓRDENES-DE-COMPRA'!A52="","",'ÓRDENES-DE-COMPRA'!A52)</x:f>
      </x:c>
      <x:c r="B52" s="46" t="str">
        <x:f>IF(A52="","",'ÓRDENES-DE-COMPRA'!C52)</x:f>
      </x:c>
      <x:c r="C52" s="46" t="str">
        <x:f>IF(A52="","",'ÓRDENES-DE-COMPRA'!D52)</x:f>
      </x:c>
      <x:c r="D52" s="46" t="str">
        <x:f>IF(A52="","",'ÓRDENES-DE-COMPRA'!E52)</x:f>
      </x:c>
      <x:c r="E52" s="75" t="str">
        <x:f>IF(A52="","",'ÓRDENES-DE-COMPRA'!B52)</x:f>
      </x:c>
      <x:c r="F52" s="75" t="str">
        <x:f>IF(A52="","",'ÓRDENES-DE-COMPRA'!F52)</x:f>
      </x:c>
      <x:c r="G52" s="46" t="str">
        <x:f>IF(A52="","",'ÓRDENES-DE-COMPRA'!H52)</x:f>
      </x:c>
      <x:c r="H52" s="46" t="str">
        <x:f>IF(A52="","",'ÓRDENES-DE-COMPRA'!L52)</x:f>
      </x:c>
      <x:c r="I52" s="59" t="str">
        <x:f>IF(A52="","",'ÓRDENES-DE-COMPRA'!M52)</x:f>
      </x:c>
      <x:c r="J52" s="59" t="str">
        <x:f>IF(A52="","",'ÓRDENES-DE-COMPRA'!N52)</x:f>
      </x:c>
      <x:c r="K52" s="59" t="str">
        <x:f>IF(A52="","",'ÓRDENES-DE-COMPRA'!J52)</x:f>
      </x:c>
      <x:c r="L52" s="59" t="str">
        <x:f>IF(A52="","",'ÓRDENES-DE-COMPRA'!O52)</x:f>
      </x:c>
      <x:c r="M52" s="59" t="str">
        <x:f>IF(A52="","",'ÓRDENES-DE-COMPRA'!P52)</x:f>
      </x:c>
      <x:c r="N52" s="59" t="str">
        <x:f>IF(A52="","",'ÓRDENES-DE-COMPRA'!Q52)</x:f>
      </x:c>
      <x:c r="O52" s="60" t="str">
        <x:f>IF(A52="","",'ÓRDENES-DE-COMPRA'!R52)</x:f>
      </x:c>
      <x:c r="P52" s="46" t="str">
        <x:f>IF(A52="","",'ÓRDENES-DE-COMPRA'!S52)</x:f>
      </x:c>
      <x:c r="Q52" s="76" t="str">
        <x:f>IF(A52="","",IF(OR(N52=0,F52=""),0,MAX('CONFIGURACIÓN'!$B$7-F52,0)))</x:f>
      </x:c>
      <x:c r="R52" s="46" t="str">
        <x:f>IF(A52="","",IF(G52="Cancelada","Sin acción",IF(P52="Vencida","Acción requerida",IF(N52&gt;='CONFIGURACIÓN'!$B$10,"Valor alto",IF(P52="Próxima a vencer","Supervisar","Rutina")))))</x:f>
      </x:c>
    </x:row>
    <x:row r="53">
      <x:c r="A53" s="46" t="str">
        <x:f>IF('ÓRDENES-DE-COMPRA'!A53="","",'ÓRDENES-DE-COMPRA'!A53)</x:f>
      </x:c>
      <x:c r="B53" s="46" t="str">
        <x:f>IF(A53="","",'ÓRDENES-DE-COMPRA'!C53)</x:f>
      </x:c>
      <x:c r="C53" s="46" t="str">
        <x:f>IF(A53="","",'ÓRDENES-DE-COMPRA'!D53)</x:f>
      </x:c>
      <x:c r="D53" s="46" t="str">
        <x:f>IF(A53="","",'ÓRDENES-DE-COMPRA'!E53)</x:f>
      </x:c>
      <x:c r="E53" s="75" t="str">
        <x:f>IF(A53="","",'ÓRDENES-DE-COMPRA'!B53)</x:f>
      </x:c>
      <x:c r="F53" s="75" t="str">
        <x:f>IF(A53="","",'ÓRDENES-DE-COMPRA'!F53)</x:f>
      </x:c>
      <x:c r="G53" s="46" t="str">
        <x:f>IF(A53="","",'ÓRDENES-DE-COMPRA'!H53)</x:f>
      </x:c>
      <x:c r="H53" s="46" t="str">
        <x:f>IF(A53="","",'ÓRDENES-DE-COMPRA'!L53)</x:f>
      </x:c>
      <x:c r="I53" s="59" t="str">
        <x:f>IF(A53="","",'ÓRDENES-DE-COMPRA'!M53)</x:f>
      </x:c>
      <x:c r="J53" s="59" t="str">
        <x:f>IF(A53="","",'ÓRDENES-DE-COMPRA'!N53)</x:f>
      </x:c>
      <x:c r="K53" s="59" t="str">
        <x:f>IF(A53="","",'ÓRDENES-DE-COMPRA'!J53)</x:f>
      </x:c>
      <x:c r="L53" s="59" t="str">
        <x:f>IF(A53="","",'ÓRDENES-DE-COMPRA'!O53)</x:f>
      </x:c>
      <x:c r="M53" s="59" t="str">
        <x:f>IF(A53="","",'ÓRDENES-DE-COMPRA'!P53)</x:f>
      </x:c>
      <x:c r="N53" s="59" t="str">
        <x:f>IF(A53="","",'ÓRDENES-DE-COMPRA'!Q53)</x:f>
      </x:c>
      <x:c r="O53" s="60" t="str">
        <x:f>IF(A53="","",'ÓRDENES-DE-COMPRA'!R53)</x:f>
      </x:c>
      <x:c r="P53" s="46" t="str">
        <x:f>IF(A53="","",'ÓRDENES-DE-COMPRA'!S53)</x:f>
      </x:c>
      <x:c r="Q53" s="76" t="str">
        <x:f>IF(A53="","",IF(OR(N53=0,F53=""),0,MAX('CONFIGURACIÓN'!$B$7-F53,0)))</x:f>
      </x:c>
      <x:c r="R53" s="46" t="str">
        <x:f>IF(A53="","",IF(G53="Cancelada","Sin acción",IF(P53="Vencida","Acción requerida",IF(N53&gt;='CONFIGURACIÓN'!$B$10,"Valor alto",IF(P53="Próxima a vencer","Supervisar","Rutina")))))</x:f>
      </x:c>
    </x:row>
    <x:row r="54">
      <x:c r="A54" s="46" t="str">
        <x:f>IF('ÓRDENES-DE-COMPRA'!A54="","",'ÓRDENES-DE-COMPRA'!A54)</x:f>
      </x:c>
      <x:c r="B54" s="46" t="str">
        <x:f>IF(A54="","",'ÓRDENES-DE-COMPRA'!C54)</x:f>
      </x:c>
      <x:c r="C54" s="46" t="str">
        <x:f>IF(A54="","",'ÓRDENES-DE-COMPRA'!D54)</x:f>
      </x:c>
      <x:c r="D54" s="46" t="str">
        <x:f>IF(A54="","",'ÓRDENES-DE-COMPRA'!E54)</x:f>
      </x:c>
      <x:c r="E54" s="75" t="str">
        <x:f>IF(A54="","",'ÓRDENES-DE-COMPRA'!B54)</x:f>
      </x:c>
      <x:c r="F54" s="75" t="str">
        <x:f>IF(A54="","",'ÓRDENES-DE-COMPRA'!F54)</x:f>
      </x:c>
      <x:c r="G54" s="46" t="str">
        <x:f>IF(A54="","",'ÓRDENES-DE-COMPRA'!H54)</x:f>
      </x:c>
      <x:c r="H54" s="46" t="str">
        <x:f>IF(A54="","",'ÓRDENES-DE-COMPRA'!L54)</x:f>
      </x:c>
      <x:c r="I54" s="59" t="str">
        <x:f>IF(A54="","",'ÓRDENES-DE-COMPRA'!M54)</x:f>
      </x:c>
      <x:c r="J54" s="59" t="str">
        <x:f>IF(A54="","",'ÓRDENES-DE-COMPRA'!N54)</x:f>
      </x:c>
      <x:c r="K54" s="59" t="str">
        <x:f>IF(A54="","",'ÓRDENES-DE-COMPRA'!J54)</x:f>
      </x:c>
      <x:c r="L54" s="59" t="str">
        <x:f>IF(A54="","",'ÓRDENES-DE-COMPRA'!O54)</x:f>
      </x:c>
      <x:c r="M54" s="59" t="str">
        <x:f>IF(A54="","",'ÓRDENES-DE-COMPRA'!P54)</x:f>
      </x:c>
      <x:c r="N54" s="59" t="str">
        <x:f>IF(A54="","",'ÓRDENES-DE-COMPRA'!Q54)</x:f>
      </x:c>
      <x:c r="O54" s="60" t="str">
        <x:f>IF(A54="","",'ÓRDENES-DE-COMPRA'!R54)</x:f>
      </x:c>
      <x:c r="P54" s="46" t="str">
        <x:f>IF(A54="","",'ÓRDENES-DE-COMPRA'!S54)</x:f>
      </x:c>
      <x:c r="Q54" s="76" t="str">
        <x:f>IF(A54="","",IF(OR(N54=0,F54=""),0,MAX('CONFIGURACIÓN'!$B$7-F54,0)))</x:f>
      </x:c>
      <x:c r="R54" s="46" t="str">
        <x:f>IF(A54="","",IF(G54="Cancelada","Sin acción",IF(P54="Vencida","Acción requerida",IF(N54&gt;='CONFIGURACIÓN'!$B$10,"Valor alto",IF(P54="Próxima a vencer","Supervisar","Rutina")))))</x:f>
      </x:c>
    </x:row>
    <x:row r="55">
      <x:c r="A55" s="46" t="str">
        <x:f>IF('ÓRDENES-DE-COMPRA'!A55="","",'ÓRDENES-DE-COMPRA'!A55)</x:f>
      </x:c>
      <x:c r="B55" s="46" t="str">
        <x:f>IF(A55="","",'ÓRDENES-DE-COMPRA'!C55)</x:f>
      </x:c>
      <x:c r="C55" s="46" t="str">
        <x:f>IF(A55="","",'ÓRDENES-DE-COMPRA'!D55)</x:f>
      </x:c>
      <x:c r="D55" s="46" t="str">
        <x:f>IF(A55="","",'ÓRDENES-DE-COMPRA'!E55)</x:f>
      </x:c>
      <x:c r="E55" s="75" t="str">
        <x:f>IF(A55="","",'ÓRDENES-DE-COMPRA'!B55)</x:f>
      </x:c>
      <x:c r="F55" s="75" t="str">
        <x:f>IF(A55="","",'ÓRDENES-DE-COMPRA'!F55)</x:f>
      </x:c>
      <x:c r="G55" s="46" t="str">
        <x:f>IF(A55="","",'ÓRDENES-DE-COMPRA'!H55)</x:f>
      </x:c>
      <x:c r="H55" s="46" t="str">
        <x:f>IF(A55="","",'ÓRDENES-DE-COMPRA'!L55)</x:f>
      </x:c>
      <x:c r="I55" s="59" t="str">
        <x:f>IF(A55="","",'ÓRDENES-DE-COMPRA'!M55)</x:f>
      </x:c>
      <x:c r="J55" s="59" t="str">
        <x:f>IF(A55="","",'ÓRDENES-DE-COMPRA'!N55)</x:f>
      </x:c>
      <x:c r="K55" s="59" t="str">
        <x:f>IF(A55="","",'ÓRDENES-DE-COMPRA'!J55)</x:f>
      </x:c>
      <x:c r="L55" s="59" t="str">
        <x:f>IF(A55="","",'ÓRDENES-DE-COMPRA'!O55)</x:f>
      </x:c>
      <x:c r="M55" s="59" t="str">
        <x:f>IF(A55="","",'ÓRDENES-DE-COMPRA'!P55)</x:f>
      </x:c>
      <x:c r="N55" s="59" t="str">
        <x:f>IF(A55="","",'ÓRDENES-DE-COMPRA'!Q55)</x:f>
      </x:c>
      <x:c r="O55" s="60" t="str">
        <x:f>IF(A55="","",'ÓRDENES-DE-COMPRA'!R55)</x:f>
      </x:c>
      <x:c r="P55" s="46" t="str">
        <x:f>IF(A55="","",'ÓRDENES-DE-COMPRA'!S55)</x:f>
      </x:c>
      <x:c r="Q55" s="76" t="str">
        <x:f>IF(A55="","",IF(OR(N55=0,F55=""),0,MAX('CONFIGURACIÓN'!$B$7-F55,0)))</x:f>
      </x:c>
      <x:c r="R55" s="46" t="str">
        <x:f>IF(A55="","",IF(G55="Cancelada","Sin acción",IF(P55="Vencida","Acción requerida",IF(N55&gt;='CONFIGURACIÓN'!$B$10,"Valor alto",IF(P55="Próxima a vencer","Supervisar","Rutina")))))</x:f>
      </x:c>
    </x:row>
    <x:row r="56">
      <x:c r="A56" s="46" t="str">
        <x:f>IF('ÓRDENES-DE-COMPRA'!A56="","",'ÓRDENES-DE-COMPRA'!A56)</x:f>
      </x:c>
      <x:c r="B56" s="46" t="str">
        <x:f>IF(A56="","",'ÓRDENES-DE-COMPRA'!C56)</x:f>
      </x:c>
      <x:c r="C56" s="46" t="str">
        <x:f>IF(A56="","",'ÓRDENES-DE-COMPRA'!D56)</x:f>
      </x:c>
      <x:c r="D56" s="46" t="str">
        <x:f>IF(A56="","",'ÓRDENES-DE-COMPRA'!E56)</x:f>
      </x:c>
      <x:c r="E56" s="75" t="str">
        <x:f>IF(A56="","",'ÓRDENES-DE-COMPRA'!B56)</x:f>
      </x:c>
      <x:c r="F56" s="75" t="str">
        <x:f>IF(A56="","",'ÓRDENES-DE-COMPRA'!F56)</x:f>
      </x:c>
      <x:c r="G56" s="46" t="str">
        <x:f>IF(A56="","",'ÓRDENES-DE-COMPRA'!H56)</x:f>
      </x:c>
      <x:c r="H56" s="46" t="str">
        <x:f>IF(A56="","",'ÓRDENES-DE-COMPRA'!L56)</x:f>
      </x:c>
      <x:c r="I56" s="59" t="str">
        <x:f>IF(A56="","",'ÓRDENES-DE-COMPRA'!M56)</x:f>
      </x:c>
      <x:c r="J56" s="59" t="str">
        <x:f>IF(A56="","",'ÓRDENES-DE-COMPRA'!N56)</x:f>
      </x:c>
      <x:c r="K56" s="59" t="str">
        <x:f>IF(A56="","",'ÓRDENES-DE-COMPRA'!J56)</x:f>
      </x:c>
      <x:c r="L56" s="59" t="str">
        <x:f>IF(A56="","",'ÓRDENES-DE-COMPRA'!O56)</x:f>
      </x:c>
      <x:c r="M56" s="59" t="str">
        <x:f>IF(A56="","",'ÓRDENES-DE-COMPRA'!P56)</x:f>
      </x:c>
      <x:c r="N56" s="59" t="str">
        <x:f>IF(A56="","",'ÓRDENES-DE-COMPRA'!Q56)</x:f>
      </x:c>
      <x:c r="O56" s="60" t="str">
        <x:f>IF(A56="","",'ÓRDENES-DE-COMPRA'!R56)</x:f>
      </x:c>
      <x:c r="P56" s="46" t="str">
        <x:f>IF(A56="","",'ÓRDENES-DE-COMPRA'!S56)</x:f>
      </x:c>
      <x:c r="Q56" s="76" t="str">
        <x:f>IF(A56="","",IF(OR(N56=0,F56=""),0,MAX('CONFIGURACIÓN'!$B$7-F56,0)))</x:f>
      </x:c>
      <x:c r="R56" s="46" t="str">
        <x:f>IF(A56="","",IF(G56="Cancelada","Sin acción",IF(P56="Vencida","Acción requerida",IF(N56&gt;='CONFIGURACIÓN'!$B$10,"Valor alto",IF(P56="Próxima a vencer","Supervisar","Rutina")))))</x:f>
      </x:c>
    </x:row>
    <x:row r="57">
      <x:c r="A57" s="46" t="str">
        <x:f>IF('ÓRDENES-DE-COMPRA'!A57="","",'ÓRDENES-DE-COMPRA'!A57)</x:f>
      </x:c>
      <x:c r="B57" s="46" t="str">
        <x:f>IF(A57="","",'ÓRDENES-DE-COMPRA'!C57)</x:f>
      </x:c>
      <x:c r="C57" s="46" t="str">
        <x:f>IF(A57="","",'ÓRDENES-DE-COMPRA'!D57)</x:f>
      </x:c>
      <x:c r="D57" s="46" t="str">
        <x:f>IF(A57="","",'ÓRDENES-DE-COMPRA'!E57)</x:f>
      </x:c>
      <x:c r="E57" s="75" t="str">
        <x:f>IF(A57="","",'ÓRDENES-DE-COMPRA'!B57)</x:f>
      </x:c>
      <x:c r="F57" s="75" t="str">
        <x:f>IF(A57="","",'ÓRDENES-DE-COMPRA'!F57)</x:f>
      </x:c>
      <x:c r="G57" s="46" t="str">
        <x:f>IF(A57="","",'ÓRDENES-DE-COMPRA'!H57)</x:f>
      </x:c>
      <x:c r="H57" s="46" t="str">
        <x:f>IF(A57="","",'ÓRDENES-DE-COMPRA'!L57)</x:f>
      </x:c>
      <x:c r="I57" s="59" t="str">
        <x:f>IF(A57="","",'ÓRDENES-DE-COMPRA'!M57)</x:f>
      </x:c>
      <x:c r="J57" s="59" t="str">
        <x:f>IF(A57="","",'ÓRDENES-DE-COMPRA'!N57)</x:f>
      </x:c>
      <x:c r="K57" s="59" t="str">
        <x:f>IF(A57="","",'ÓRDENES-DE-COMPRA'!J57)</x:f>
      </x:c>
      <x:c r="L57" s="59" t="str">
        <x:f>IF(A57="","",'ÓRDENES-DE-COMPRA'!O57)</x:f>
      </x:c>
      <x:c r="M57" s="59" t="str">
        <x:f>IF(A57="","",'ÓRDENES-DE-COMPRA'!P57)</x:f>
      </x:c>
      <x:c r="N57" s="59" t="str">
        <x:f>IF(A57="","",'ÓRDENES-DE-COMPRA'!Q57)</x:f>
      </x:c>
      <x:c r="O57" s="60" t="str">
        <x:f>IF(A57="","",'ÓRDENES-DE-COMPRA'!R57)</x:f>
      </x:c>
      <x:c r="P57" s="46" t="str">
        <x:f>IF(A57="","",'ÓRDENES-DE-COMPRA'!S57)</x:f>
      </x:c>
      <x:c r="Q57" s="76" t="str">
        <x:f>IF(A57="","",IF(OR(N57=0,F57=""),0,MAX('CONFIGURACIÓN'!$B$7-F57,0)))</x:f>
      </x:c>
      <x:c r="R57" s="46" t="str">
        <x:f>IF(A57="","",IF(G57="Cancelada","Sin acción",IF(P57="Vencida","Acción requerida",IF(N57&gt;='CONFIGURACIÓN'!$B$10,"Valor alto",IF(P57="Próxima a vencer","Supervisar","Rutina")))))</x:f>
      </x:c>
    </x:row>
    <x:row r="58">
      <x:c r="A58" s="46" t="str">
        <x:f>IF('ÓRDENES-DE-COMPRA'!A58="","",'ÓRDENES-DE-COMPRA'!A58)</x:f>
      </x:c>
      <x:c r="B58" s="46" t="str">
        <x:f>IF(A58="","",'ÓRDENES-DE-COMPRA'!C58)</x:f>
      </x:c>
      <x:c r="C58" s="46" t="str">
        <x:f>IF(A58="","",'ÓRDENES-DE-COMPRA'!D58)</x:f>
      </x:c>
      <x:c r="D58" s="46" t="str">
        <x:f>IF(A58="","",'ÓRDENES-DE-COMPRA'!E58)</x:f>
      </x:c>
      <x:c r="E58" s="75" t="str">
        <x:f>IF(A58="","",'ÓRDENES-DE-COMPRA'!B58)</x:f>
      </x:c>
      <x:c r="F58" s="75" t="str">
        <x:f>IF(A58="","",'ÓRDENES-DE-COMPRA'!F58)</x:f>
      </x:c>
      <x:c r="G58" s="46" t="str">
        <x:f>IF(A58="","",'ÓRDENES-DE-COMPRA'!H58)</x:f>
      </x:c>
      <x:c r="H58" s="46" t="str">
        <x:f>IF(A58="","",'ÓRDENES-DE-COMPRA'!L58)</x:f>
      </x:c>
      <x:c r="I58" s="59" t="str">
        <x:f>IF(A58="","",'ÓRDENES-DE-COMPRA'!M58)</x:f>
      </x:c>
      <x:c r="J58" s="59" t="str">
        <x:f>IF(A58="","",'ÓRDENES-DE-COMPRA'!N58)</x:f>
      </x:c>
      <x:c r="K58" s="59" t="str">
        <x:f>IF(A58="","",'ÓRDENES-DE-COMPRA'!J58)</x:f>
      </x:c>
      <x:c r="L58" s="59" t="str">
        <x:f>IF(A58="","",'ÓRDENES-DE-COMPRA'!O58)</x:f>
      </x:c>
      <x:c r="M58" s="59" t="str">
        <x:f>IF(A58="","",'ÓRDENES-DE-COMPRA'!P58)</x:f>
      </x:c>
      <x:c r="N58" s="59" t="str">
        <x:f>IF(A58="","",'ÓRDENES-DE-COMPRA'!Q58)</x:f>
      </x:c>
      <x:c r="O58" s="60" t="str">
        <x:f>IF(A58="","",'ÓRDENES-DE-COMPRA'!R58)</x:f>
      </x:c>
      <x:c r="P58" s="46" t="str">
        <x:f>IF(A58="","",'ÓRDENES-DE-COMPRA'!S58)</x:f>
      </x:c>
      <x:c r="Q58" s="76" t="str">
        <x:f>IF(A58="","",IF(OR(N58=0,F58=""),0,MAX('CONFIGURACIÓN'!$B$7-F58,0)))</x:f>
      </x:c>
      <x:c r="R58" s="46" t="str">
        <x:f>IF(A58="","",IF(G58="Cancelada","Sin acción",IF(P58="Vencida","Acción requerida",IF(N58&gt;='CONFIGURACIÓN'!$B$10,"Valor alto",IF(P58="Próxima a vencer","Supervisar","Rutina")))))</x:f>
      </x:c>
    </x:row>
    <x:row r="59">
      <x:c r="A59" s="46" t="str">
        <x:f>IF('ÓRDENES-DE-COMPRA'!A59="","",'ÓRDENES-DE-COMPRA'!A59)</x:f>
      </x:c>
      <x:c r="B59" s="46" t="str">
        <x:f>IF(A59="","",'ÓRDENES-DE-COMPRA'!C59)</x:f>
      </x:c>
      <x:c r="C59" s="46" t="str">
        <x:f>IF(A59="","",'ÓRDENES-DE-COMPRA'!D59)</x:f>
      </x:c>
      <x:c r="D59" s="46" t="str">
        <x:f>IF(A59="","",'ÓRDENES-DE-COMPRA'!E59)</x:f>
      </x:c>
      <x:c r="E59" s="75" t="str">
        <x:f>IF(A59="","",'ÓRDENES-DE-COMPRA'!B59)</x:f>
      </x:c>
      <x:c r="F59" s="75" t="str">
        <x:f>IF(A59="","",'ÓRDENES-DE-COMPRA'!F59)</x:f>
      </x:c>
      <x:c r="G59" s="46" t="str">
        <x:f>IF(A59="","",'ÓRDENES-DE-COMPRA'!H59)</x:f>
      </x:c>
      <x:c r="H59" s="46" t="str">
        <x:f>IF(A59="","",'ÓRDENES-DE-COMPRA'!L59)</x:f>
      </x:c>
      <x:c r="I59" s="59" t="str">
        <x:f>IF(A59="","",'ÓRDENES-DE-COMPRA'!M59)</x:f>
      </x:c>
      <x:c r="J59" s="59" t="str">
        <x:f>IF(A59="","",'ÓRDENES-DE-COMPRA'!N59)</x:f>
      </x:c>
      <x:c r="K59" s="59" t="str">
        <x:f>IF(A59="","",'ÓRDENES-DE-COMPRA'!J59)</x:f>
      </x:c>
      <x:c r="L59" s="59" t="str">
        <x:f>IF(A59="","",'ÓRDENES-DE-COMPRA'!O59)</x:f>
      </x:c>
      <x:c r="M59" s="59" t="str">
        <x:f>IF(A59="","",'ÓRDENES-DE-COMPRA'!P59)</x:f>
      </x:c>
      <x:c r="N59" s="59" t="str">
        <x:f>IF(A59="","",'ÓRDENES-DE-COMPRA'!Q59)</x:f>
      </x:c>
      <x:c r="O59" s="60" t="str">
        <x:f>IF(A59="","",'ÓRDENES-DE-COMPRA'!R59)</x:f>
      </x:c>
      <x:c r="P59" s="46" t="str">
        <x:f>IF(A59="","",'ÓRDENES-DE-COMPRA'!S59)</x:f>
      </x:c>
      <x:c r="Q59" s="76" t="str">
        <x:f>IF(A59="","",IF(OR(N59=0,F59=""),0,MAX('CONFIGURACIÓN'!$B$7-F59,0)))</x:f>
      </x:c>
      <x:c r="R59" s="46" t="str">
        <x:f>IF(A59="","",IF(G59="Cancelada","Sin acción",IF(P59="Vencida","Acción requerida",IF(N59&gt;='CONFIGURACIÓN'!$B$10,"Valor alto",IF(P59="Próxima a vencer","Supervisar","Rutina")))))</x:f>
      </x:c>
    </x:row>
    <x:row r="60">
      <x:c r="A60" s="46" t="str">
        <x:f>IF('ÓRDENES-DE-COMPRA'!A60="","",'ÓRDENES-DE-COMPRA'!A60)</x:f>
      </x:c>
      <x:c r="B60" s="46" t="str">
        <x:f>IF(A60="","",'ÓRDENES-DE-COMPRA'!C60)</x:f>
      </x:c>
      <x:c r="C60" s="46" t="str">
        <x:f>IF(A60="","",'ÓRDENES-DE-COMPRA'!D60)</x:f>
      </x:c>
      <x:c r="D60" s="46" t="str">
        <x:f>IF(A60="","",'ÓRDENES-DE-COMPRA'!E60)</x:f>
      </x:c>
      <x:c r="E60" s="75" t="str">
        <x:f>IF(A60="","",'ÓRDENES-DE-COMPRA'!B60)</x:f>
      </x:c>
      <x:c r="F60" s="75" t="str">
        <x:f>IF(A60="","",'ÓRDENES-DE-COMPRA'!F60)</x:f>
      </x:c>
      <x:c r="G60" s="46" t="str">
        <x:f>IF(A60="","",'ÓRDENES-DE-COMPRA'!H60)</x:f>
      </x:c>
      <x:c r="H60" s="46" t="str">
        <x:f>IF(A60="","",'ÓRDENES-DE-COMPRA'!L60)</x:f>
      </x:c>
      <x:c r="I60" s="59" t="str">
        <x:f>IF(A60="","",'ÓRDENES-DE-COMPRA'!M60)</x:f>
      </x:c>
      <x:c r="J60" s="59" t="str">
        <x:f>IF(A60="","",'ÓRDENES-DE-COMPRA'!N60)</x:f>
      </x:c>
      <x:c r="K60" s="59" t="str">
        <x:f>IF(A60="","",'ÓRDENES-DE-COMPRA'!J60)</x:f>
      </x:c>
      <x:c r="L60" s="59" t="str">
        <x:f>IF(A60="","",'ÓRDENES-DE-COMPRA'!O60)</x:f>
      </x:c>
      <x:c r="M60" s="59" t="str">
        <x:f>IF(A60="","",'ÓRDENES-DE-COMPRA'!P60)</x:f>
      </x:c>
      <x:c r="N60" s="59" t="str">
        <x:f>IF(A60="","",'ÓRDENES-DE-COMPRA'!Q60)</x:f>
      </x:c>
      <x:c r="O60" s="60" t="str">
        <x:f>IF(A60="","",'ÓRDENES-DE-COMPRA'!R60)</x:f>
      </x:c>
      <x:c r="P60" s="46" t="str">
        <x:f>IF(A60="","",'ÓRDENES-DE-COMPRA'!S60)</x:f>
      </x:c>
      <x:c r="Q60" s="76" t="str">
        <x:f>IF(A60="","",IF(OR(N60=0,F60=""),0,MAX('CONFIGURACIÓN'!$B$7-F60,0)))</x:f>
      </x:c>
      <x:c r="R60" s="46" t="str">
        <x:f>IF(A60="","",IF(G60="Cancelada","Sin acción",IF(P60="Vencida","Acción requerida",IF(N60&gt;='CONFIGURACIÓN'!$B$10,"Valor alto",IF(P60="Próxima a vencer","Supervisar","Rutina")))))</x:f>
      </x:c>
    </x:row>
    <x:row r="61">
      <x:c r="A61" s="46" t="str">
        <x:f>IF('ÓRDENES-DE-COMPRA'!A61="","",'ÓRDENES-DE-COMPRA'!A61)</x:f>
      </x:c>
      <x:c r="B61" s="46" t="str">
        <x:f>IF(A61="","",'ÓRDENES-DE-COMPRA'!C61)</x:f>
      </x:c>
      <x:c r="C61" s="46" t="str">
        <x:f>IF(A61="","",'ÓRDENES-DE-COMPRA'!D61)</x:f>
      </x:c>
      <x:c r="D61" s="46" t="str">
        <x:f>IF(A61="","",'ÓRDENES-DE-COMPRA'!E61)</x:f>
      </x:c>
      <x:c r="E61" s="75" t="str">
        <x:f>IF(A61="","",'ÓRDENES-DE-COMPRA'!B61)</x:f>
      </x:c>
      <x:c r="F61" s="75" t="str">
        <x:f>IF(A61="","",'ÓRDENES-DE-COMPRA'!F61)</x:f>
      </x:c>
      <x:c r="G61" s="46" t="str">
        <x:f>IF(A61="","",'ÓRDENES-DE-COMPRA'!H61)</x:f>
      </x:c>
      <x:c r="H61" s="46" t="str">
        <x:f>IF(A61="","",'ÓRDENES-DE-COMPRA'!L61)</x:f>
      </x:c>
      <x:c r="I61" s="59" t="str">
        <x:f>IF(A61="","",'ÓRDENES-DE-COMPRA'!M61)</x:f>
      </x:c>
      <x:c r="J61" s="59" t="str">
        <x:f>IF(A61="","",'ÓRDENES-DE-COMPRA'!N61)</x:f>
      </x:c>
      <x:c r="K61" s="59" t="str">
        <x:f>IF(A61="","",'ÓRDENES-DE-COMPRA'!J61)</x:f>
      </x:c>
      <x:c r="L61" s="59" t="str">
        <x:f>IF(A61="","",'ÓRDENES-DE-COMPRA'!O61)</x:f>
      </x:c>
      <x:c r="M61" s="59" t="str">
        <x:f>IF(A61="","",'ÓRDENES-DE-COMPRA'!P61)</x:f>
      </x:c>
      <x:c r="N61" s="59" t="str">
        <x:f>IF(A61="","",'ÓRDENES-DE-COMPRA'!Q61)</x:f>
      </x:c>
      <x:c r="O61" s="60" t="str">
        <x:f>IF(A61="","",'ÓRDENES-DE-COMPRA'!R61)</x:f>
      </x:c>
      <x:c r="P61" s="46" t="str">
        <x:f>IF(A61="","",'ÓRDENES-DE-COMPRA'!S61)</x:f>
      </x:c>
      <x:c r="Q61" s="76" t="str">
        <x:f>IF(A61="","",IF(OR(N61=0,F61=""),0,MAX('CONFIGURACIÓN'!$B$7-F61,0)))</x:f>
      </x:c>
      <x:c r="R61" s="46" t="str">
        <x:f>IF(A61="","",IF(G61="Cancelada","Sin acción",IF(P61="Vencida","Acción requerida",IF(N61&gt;='CONFIGURACIÓN'!$B$10,"Valor alto",IF(P61="Próxima a vencer","Supervisar","Rutina")))))</x:f>
      </x:c>
    </x:row>
    <x:row r="62">
      <x:c r="A62" s="46" t="str">
        <x:f>IF('ÓRDENES-DE-COMPRA'!A62="","",'ÓRDENES-DE-COMPRA'!A62)</x:f>
      </x:c>
      <x:c r="B62" s="46" t="str">
        <x:f>IF(A62="","",'ÓRDENES-DE-COMPRA'!C62)</x:f>
      </x:c>
      <x:c r="C62" s="46" t="str">
        <x:f>IF(A62="","",'ÓRDENES-DE-COMPRA'!D62)</x:f>
      </x:c>
      <x:c r="D62" s="46" t="str">
        <x:f>IF(A62="","",'ÓRDENES-DE-COMPRA'!E62)</x:f>
      </x:c>
      <x:c r="E62" s="75" t="str">
        <x:f>IF(A62="","",'ÓRDENES-DE-COMPRA'!B62)</x:f>
      </x:c>
      <x:c r="F62" s="75" t="str">
        <x:f>IF(A62="","",'ÓRDENES-DE-COMPRA'!F62)</x:f>
      </x:c>
      <x:c r="G62" s="46" t="str">
        <x:f>IF(A62="","",'ÓRDENES-DE-COMPRA'!H62)</x:f>
      </x:c>
      <x:c r="H62" s="46" t="str">
        <x:f>IF(A62="","",'ÓRDENES-DE-COMPRA'!L62)</x:f>
      </x:c>
      <x:c r="I62" s="59" t="str">
        <x:f>IF(A62="","",'ÓRDENES-DE-COMPRA'!M62)</x:f>
      </x:c>
      <x:c r="J62" s="59" t="str">
        <x:f>IF(A62="","",'ÓRDENES-DE-COMPRA'!N62)</x:f>
      </x:c>
      <x:c r="K62" s="59" t="str">
        <x:f>IF(A62="","",'ÓRDENES-DE-COMPRA'!J62)</x:f>
      </x:c>
      <x:c r="L62" s="59" t="str">
        <x:f>IF(A62="","",'ÓRDENES-DE-COMPRA'!O62)</x:f>
      </x:c>
      <x:c r="M62" s="59" t="str">
        <x:f>IF(A62="","",'ÓRDENES-DE-COMPRA'!P62)</x:f>
      </x:c>
      <x:c r="N62" s="59" t="str">
        <x:f>IF(A62="","",'ÓRDENES-DE-COMPRA'!Q62)</x:f>
      </x:c>
      <x:c r="O62" s="60" t="str">
        <x:f>IF(A62="","",'ÓRDENES-DE-COMPRA'!R62)</x:f>
      </x:c>
      <x:c r="P62" s="46" t="str">
        <x:f>IF(A62="","",'ÓRDENES-DE-COMPRA'!S62)</x:f>
      </x:c>
      <x:c r="Q62" s="76" t="str">
        <x:f>IF(A62="","",IF(OR(N62=0,F62=""),0,MAX('CONFIGURACIÓN'!$B$7-F62,0)))</x:f>
      </x:c>
      <x:c r="R62" s="46" t="str">
        <x:f>IF(A62="","",IF(G62="Cancelada","Sin acción",IF(P62="Vencida","Acción requerida",IF(N62&gt;='CONFIGURACIÓN'!$B$10,"Valor alto",IF(P62="Próxima a vencer","Supervisar","Rutina")))))</x:f>
      </x:c>
    </x:row>
    <x:row r="63">
      <x:c r="A63" s="46" t="str">
        <x:f>IF('ÓRDENES-DE-COMPRA'!A63="","",'ÓRDENES-DE-COMPRA'!A63)</x:f>
      </x:c>
      <x:c r="B63" s="46" t="str">
        <x:f>IF(A63="","",'ÓRDENES-DE-COMPRA'!C63)</x:f>
      </x:c>
      <x:c r="C63" s="46" t="str">
        <x:f>IF(A63="","",'ÓRDENES-DE-COMPRA'!D63)</x:f>
      </x:c>
      <x:c r="D63" s="46" t="str">
        <x:f>IF(A63="","",'ÓRDENES-DE-COMPRA'!E63)</x:f>
      </x:c>
      <x:c r="E63" s="75" t="str">
        <x:f>IF(A63="","",'ÓRDENES-DE-COMPRA'!B63)</x:f>
      </x:c>
      <x:c r="F63" s="75" t="str">
        <x:f>IF(A63="","",'ÓRDENES-DE-COMPRA'!F63)</x:f>
      </x:c>
      <x:c r="G63" s="46" t="str">
        <x:f>IF(A63="","",'ÓRDENES-DE-COMPRA'!H63)</x:f>
      </x:c>
      <x:c r="H63" s="46" t="str">
        <x:f>IF(A63="","",'ÓRDENES-DE-COMPRA'!L63)</x:f>
      </x:c>
      <x:c r="I63" s="59" t="str">
        <x:f>IF(A63="","",'ÓRDENES-DE-COMPRA'!M63)</x:f>
      </x:c>
      <x:c r="J63" s="59" t="str">
        <x:f>IF(A63="","",'ÓRDENES-DE-COMPRA'!N63)</x:f>
      </x:c>
      <x:c r="K63" s="59" t="str">
        <x:f>IF(A63="","",'ÓRDENES-DE-COMPRA'!J63)</x:f>
      </x:c>
      <x:c r="L63" s="59" t="str">
        <x:f>IF(A63="","",'ÓRDENES-DE-COMPRA'!O63)</x:f>
      </x:c>
      <x:c r="M63" s="59" t="str">
        <x:f>IF(A63="","",'ÓRDENES-DE-COMPRA'!P63)</x:f>
      </x:c>
      <x:c r="N63" s="59" t="str">
        <x:f>IF(A63="","",'ÓRDENES-DE-COMPRA'!Q63)</x:f>
      </x:c>
      <x:c r="O63" s="60" t="str">
        <x:f>IF(A63="","",'ÓRDENES-DE-COMPRA'!R63)</x:f>
      </x:c>
      <x:c r="P63" s="46" t="str">
        <x:f>IF(A63="","",'ÓRDENES-DE-COMPRA'!S63)</x:f>
      </x:c>
      <x:c r="Q63" s="76" t="str">
        <x:f>IF(A63="","",IF(OR(N63=0,F63=""),0,MAX('CONFIGURACIÓN'!$B$7-F63,0)))</x:f>
      </x:c>
      <x:c r="R63" s="46" t="str">
        <x:f>IF(A63="","",IF(G63="Cancelada","Sin acción",IF(P63="Vencida","Acción requerida",IF(N63&gt;='CONFIGURACIÓN'!$B$10,"Valor alto",IF(P63="Próxima a vencer","Supervisar","Rutina")))))</x:f>
      </x:c>
    </x:row>
    <x:row r="64">
      <x:c r="A64" s="46" t="str">
        <x:f>IF('ÓRDENES-DE-COMPRA'!A64="","",'ÓRDENES-DE-COMPRA'!A64)</x:f>
      </x:c>
      <x:c r="B64" s="46" t="str">
        <x:f>IF(A64="","",'ÓRDENES-DE-COMPRA'!C64)</x:f>
      </x:c>
      <x:c r="C64" s="46" t="str">
        <x:f>IF(A64="","",'ÓRDENES-DE-COMPRA'!D64)</x:f>
      </x:c>
      <x:c r="D64" s="46" t="str">
        <x:f>IF(A64="","",'ÓRDENES-DE-COMPRA'!E64)</x:f>
      </x:c>
      <x:c r="E64" s="75" t="str">
        <x:f>IF(A64="","",'ÓRDENES-DE-COMPRA'!B64)</x:f>
      </x:c>
      <x:c r="F64" s="75" t="str">
        <x:f>IF(A64="","",'ÓRDENES-DE-COMPRA'!F64)</x:f>
      </x:c>
      <x:c r="G64" s="46" t="str">
        <x:f>IF(A64="","",'ÓRDENES-DE-COMPRA'!H64)</x:f>
      </x:c>
      <x:c r="H64" s="46" t="str">
        <x:f>IF(A64="","",'ÓRDENES-DE-COMPRA'!L64)</x:f>
      </x:c>
      <x:c r="I64" s="59" t="str">
        <x:f>IF(A64="","",'ÓRDENES-DE-COMPRA'!M64)</x:f>
      </x:c>
      <x:c r="J64" s="59" t="str">
        <x:f>IF(A64="","",'ÓRDENES-DE-COMPRA'!N64)</x:f>
      </x:c>
      <x:c r="K64" s="59" t="str">
        <x:f>IF(A64="","",'ÓRDENES-DE-COMPRA'!J64)</x:f>
      </x:c>
      <x:c r="L64" s="59" t="str">
        <x:f>IF(A64="","",'ÓRDENES-DE-COMPRA'!O64)</x:f>
      </x:c>
      <x:c r="M64" s="59" t="str">
        <x:f>IF(A64="","",'ÓRDENES-DE-COMPRA'!P64)</x:f>
      </x:c>
      <x:c r="N64" s="59" t="str">
        <x:f>IF(A64="","",'ÓRDENES-DE-COMPRA'!Q64)</x:f>
      </x:c>
      <x:c r="O64" s="60" t="str">
        <x:f>IF(A64="","",'ÓRDENES-DE-COMPRA'!R64)</x:f>
      </x:c>
      <x:c r="P64" s="46" t="str">
        <x:f>IF(A64="","",'ÓRDENES-DE-COMPRA'!S64)</x:f>
      </x:c>
      <x:c r="Q64" s="76" t="str">
        <x:f>IF(A64="","",IF(OR(N64=0,F64=""),0,MAX('CONFIGURACIÓN'!$B$7-F64,0)))</x:f>
      </x:c>
      <x:c r="R64" s="46" t="str">
        <x:f>IF(A64="","",IF(G64="Cancelada","Sin acción",IF(P64="Vencida","Acción requerida",IF(N64&gt;='CONFIGURACIÓN'!$B$10,"Valor alto",IF(P64="Próxima a vencer","Supervisar","Rutina")))))</x:f>
      </x:c>
    </x:row>
    <x:row r="65">
      <x:c r="A65" s="46" t="str">
        <x:f>IF('ÓRDENES-DE-COMPRA'!A65="","",'ÓRDENES-DE-COMPRA'!A65)</x:f>
      </x:c>
      <x:c r="B65" s="46" t="str">
        <x:f>IF(A65="","",'ÓRDENES-DE-COMPRA'!C65)</x:f>
      </x:c>
      <x:c r="C65" s="46" t="str">
        <x:f>IF(A65="","",'ÓRDENES-DE-COMPRA'!D65)</x:f>
      </x:c>
      <x:c r="D65" s="46" t="str">
        <x:f>IF(A65="","",'ÓRDENES-DE-COMPRA'!E65)</x:f>
      </x:c>
      <x:c r="E65" s="75" t="str">
        <x:f>IF(A65="","",'ÓRDENES-DE-COMPRA'!B65)</x:f>
      </x:c>
      <x:c r="F65" s="75" t="str">
        <x:f>IF(A65="","",'ÓRDENES-DE-COMPRA'!F65)</x:f>
      </x:c>
      <x:c r="G65" s="46" t="str">
        <x:f>IF(A65="","",'ÓRDENES-DE-COMPRA'!H65)</x:f>
      </x:c>
      <x:c r="H65" s="46" t="str">
        <x:f>IF(A65="","",'ÓRDENES-DE-COMPRA'!L65)</x:f>
      </x:c>
      <x:c r="I65" s="59" t="str">
        <x:f>IF(A65="","",'ÓRDENES-DE-COMPRA'!M65)</x:f>
      </x:c>
      <x:c r="J65" s="59" t="str">
        <x:f>IF(A65="","",'ÓRDENES-DE-COMPRA'!N65)</x:f>
      </x:c>
      <x:c r="K65" s="59" t="str">
        <x:f>IF(A65="","",'ÓRDENES-DE-COMPRA'!J65)</x:f>
      </x:c>
      <x:c r="L65" s="59" t="str">
        <x:f>IF(A65="","",'ÓRDENES-DE-COMPRA'!O65)</x:f>
      </x:c>
      <x:c r="M65" s="59" t="str">
        <x:f>IF(A65="","",'ÓRDENES-DE-COMPRA'!P65)</x:f>
      </x:c>
      <x:c r="N65" s="59" t="str">
        <x:f>IF(A65="","",'ÓRDENES-DE-COMPRA'!Q65)</x:f>
      </x:c>
      <x:c r="O65" s="60" t="str">
        <x:f>IF(A65="","",'ÓRDENES-DE-COMPRA'!R65)</x:f>
      </x:c>
      <x:c r="P65" s="46" t="str">
        <x:f>IF(A65="","",'ÓRDENES-DE-COMPRA'!S65)</x:f>
      </x:c>
      <x:c r="Q65" s="76" t="str">
        <x:f>IF(A65="","",IF(OR(N65=0,F65=""),0,MAX('CONFIGURACIÓN'!$B$7-F65,0)))</x:f>
      </x:c>
      <x:c r="R65" s="46" t="str">
        <x:f>IF(A65="","",IF(G65="Cancelada","Sin acción",IF(P65="Vencida","Acción requerida",IF(N65&gt;='CONFIGURACIÓN'!$B$10,"Valor alto",IF(P65="Próxima a vencer","Supervisar","Rutina")))))</x:f>
      </x:c>
    </x:row>
    <x:row r="66">
      <x:c r="A66" s="46" t="str">
        <x:f>IF('ÓRDENES-DE-COMPRA'!A66="","",'ÓRDENES-DE-COMPRA'!A66)</x:f>
      </x:c>
      <x:c r="B66" s="46" t="str">
        <x:f>IF(A66="","",'ÓRDENES-DE-COMPRA'!C66)</x:f>
      </x:c>
      <x:c r="C66" s="46" t="str">
        <x:f>IF(A66="","",'ÓRDENES-DE-COMPRA'!D66)</x:f>
      </x:c>
      <x:c r="D66" s="46" t="str">
        <x:f>IF(A66="","",'ÓRDENES-DE-COMPRA'!E66)</x:f>
      </x:c>
      <x:c r="E66" s="75" t="str">
        <x:f>IF(A66="","",'ÓRDENES-DE-COMPRA'!B66)</x:f>
      </x:c>
      <x:c r="F66" s="75" t="str">
        <x:f>IF(A66="","",'ÓRDENES-DE-COMPRA'!F66)</x:f>
      </x:c>
      <x:c r="G66" s="46" t="str">
        <x:f>IF(A66="","",'ÓRDENES-DE-COMPRA'!H66)</x:f>
      </x:c>
      <x:c r="H66" s="46" t="str">
        <x:f>IF(A66="","",'ÓRDENES-DE-COMPRA'!L66)</x:f>
      </x:c>
      <x:c r="I66" s="59" t="str">
        <x:f>IF(A66="","",'ÓRDENES-DE-COMPRA'!M66)</x:f>
      </x:c>
      <x:c r="J66" s="59" t="str">
        <x:f>IF(A66="","",'ÓRDENES-DE-COMPRA'!N66)</x:f>
      </x:c>
      <x:c r="K66" s="59" t="str">
        <x:f>IF(A66="","",'ÓRDENES-DE-COMPRA'!J66)</x:f>
      </x:c>
      <x:c r="L66" s="59" t="str">
        <x:f>IF(A66="","",'ÓRDENES-DE-COMPRA'!O66)</x:f>
      </x:c>
      <x:c r="M66" s="59" t="str">
        <x:f>IF(A66="","",'ÓRDENES-DE-COMPRA'!P66)</x:f>
      </x:c>
      <x:c r="N66" s="59" t="str">
        <x:f>IF(A66="","",'ÓRDENES-DE-COMPRA'!Q66)</x:f>
      </x:c>
      <x:c r="O66" s="60" t="str">
        <x:f>IF(A66="","",'ÓRDENES-DE-COMPRA'!R66)</x:f>
      </x:c>
      <x:c r="P66" s="46" t="str">
        <x:f>IF(A66="","",'ÓRDENES-DE-COMPRA'!S66)</x:f>
      </x:c>
      <x:c r="Q66" s="76" t="str">
        <x:f>IF(A66="","",IF(OR(N66=0,F66=""),0,MAX('CONFIGURACIÓN'!$B$7-F66,0)))</x:f>
      </x:c>
      <x:c r="R66" s="46" t="str">
        <x:f>IF(A66="","",IF(G66="Cancelada","Sin acción",IF(P66="Vencida","Acción requerida",IF(N66&gt;='CONFIGURACIÓN'!$B$10,"Valor alto",IF(P66="Próxima a vencer","Supervisar","Rutina")))))</x:f>
      </x:c>
    </x:row>
    <x:row r="67">
      <x:c r="A67" s="46" t="str">
        <x:f>IF('ÓRDENES-DE-COMPRA'!A67="","",'ÓRDENES-DE-COMPRA'!A67)</x:f>
      </x:c>
      <x:c r="B67" s="46" t="str">
        <x:f>IF(A67="","",'ÓRDENES-DE-COMPRA'!C67)</x:f>
      </x:c>
      <x:c r="C67" s="46" t="str">
        <x:f>IF(A67="","",'ÓRDENES-DE-COMPRA'!D67)</x:f>
      </x:c>
      <x:c r="D67" s="46" t="str">
        <x:f>IF(A67="","",'ÓRDENES-DE-COMPRA'!E67)</x:f>
      </x:c>
      <x:c r="E67" s="75" t="str">
        <x:f>IF(A67="","",'ÓRDENES-DE-COMPRA'!B67)</x:f>
      </x:c>
      <x:c r="F67" s="75" t="str">
        <x:f>IF(A67="","",'ÓRDENES-DE-COMPRA'!F67)</x:f>
      </x:c>
      <x:c r="G67" s="46" t="str">
        <x:f>IF(A67="","",'ÓRDENES-DE-COMPRA'!H67)</x:f>
      </x:c>
      <x:c r="H67" s="46" t="str">
        <x:f>IF(A67="","",'ÓRDENES-DE-COMPRA'!L67)</x:f>
      </x:c>
      <x:c r="I67" s="59" t="str">
        <x:f>IF(A67="","",'ÓRDENES-DE-COMPRA'!M67)</x:f>
      </x:c>
      <x:c r="J67" s="59" t="str">
        <x:f>IF(A67="","",'ÓRDENES-DE-COMPRA'!N67)</x:f>
      </x:c>
      <x:c r="K67" s="59" t="str">
        <x:f>IF(A67="","",'ÓRDENES-DE-COMPRA'!J67)</x:f>
      </x:c>
      <x:c r="L67" s="59" t="str">
        <x:f>IF(A67="","",'ÓRDENES-DE-COMPRA'!O67)</x:f>
      </x:c>
      <x:c r="M67" s="59" t="str">
        <x:f>IF(A67="","",'ÓRDENES-DE-COMPRA'!P67)</x:f>
      </x:c>
      <x:c r="N67" s="59" t="str">
        <x:f>IF(A67="","",'ÓRDENES-DE-COMPRA'!Q67)</x:f>
      </x:c>
      <x:c r="O67" s="60" t="str">
        <x:f>IF(A67="","",'ÓRDENES-DE-COMPRA'!R67)</x:f>
      </x:c>
      <x:c r="P67" s="46" t="str">
        <x:f>IF(A67="","",'ÓRDENES-DE-COMPRA'!S67)</x:f>
      </x:c>
      <x:c r="Q67" s="76" t="str">
        <x:f>IF(A67="","",IF(OR(N67=0,F67=""),0,MAX('CONFIGURACIÓN'!$B$7-F67,0)))</x:f>
      </x:c>
      <x:c r="R67" s="46" t="str">
        <x:f>IF(A67="","",IF(G67="Cancelada","Sin acción",IF(P67="Vencida","Acción requerida",IF(N67&gt;='CONFIGURACIÓN'!$B$10,"Valor alto",IF(P67="Próxima a vencer","Supervisar","Rutina")))))</x:f>
      </x:c>
    </x:row>
    <x:row r="68">
      <x:c r="A68" s="46" t="str">
        <x:f>IF('ÓRDENES-DE-COMPRA'!A68="","",'ÓRDENES-DE-COMPRA'!A68)</x:f>
      </x:c>
      <x:c r="B68" s="46" t="str">
        <x:f>IF(A68="","",'ÓRDENES-DE-COMPRA'!C68)</x:f>
      </x:c>
      <x:c r="C68" s="46" t="str">
        <x:f>IF(A68="","",'ÓRDENES-DE-COMPRA'!D68)</x:f>
      </x:c>
      <x:c r="D68" s="46" t="str">
        <x:f>IF(A68="","",'ÓRDENES-DE-COMPRA'!E68)</x:f>
      </x:c>
      <x:c r="E68" s="75" t="str">
        <x:f>IF(A68="","",'ÓRDENES-DE-COMPRA'!B68)</x:f>
      </x:c>
      <x:c r="F68" s="75" t="str">
        <x:f>IF(A68="","",'ÓRDENES-DE-COMPRA'!F68)</x:f>
      </x:c>
      <x:c r="G68" s="46" t="str">
        <x:f>IF(A68="","",'ÓRDENES-DE-COMPRA'!H68)</x:f>
      </x:c>
      <x:c r="H68" s="46" t="str">
        <x:f>IF(A68="","",'ÓRDENES-DE-COMPRA'!L68)</x:f>
      </x:c>
      <x:c r="I68" s="59" t="str">
        <x:f>IF(A68="","",'ÓRDENES-DE-COMPRA'!M68)</x:f>
      </x:c>
      <x:c r="J68" s="59" t="str">
        <x:f>IF(A68="","",'ÓRDENES-DE-COMPRA'!N68)</x:f>
      </x:c>
      <x:c r="K68" s="59" t="str">
        <x:f>IF(A68="","",'ÓRDENES-DE-COMPRA'!J68)</x:f>
      </x:c>
      <x:c r="L68" s="59" t="str">
        <x:f>IF(A68="","",'ÓRDENES-DE-COMPRA'!O68)</x:f>
      </x:c>
      <x:c r="M68" s="59" t="str">
        <x:f>IF(A68="","",'ÓRDENES-DE-COMPRA'!P68)</x:f>
      </x:c>
      <x:c r="N68" s="59" t="str">
        <x:f>IF(A68="","",'ÓRDENES-DE-COMPRA'!Q68)</x:f>
      </x:c>
      <x:c r="O68" s="60" t="str">
        <x:f>IF(A68="","",'ÓRDENES-DE-COMPRA'!R68)</x:f>
      </x:c>
      <x:c r="P68" s="46" t="str">
        <x:f>IF(A68="","",'ÓRDENES-DE-COMPRA'!S68)</x:f>
      </x:c>
      <x:c r="Q68" s="76" t="str">
        <x:f>IF(A68="","",IF(OR(N68=0,F68=""),0,MAX('CONFIGURACIÓN'!$B$7-F68,0)))</x:f>
      </x:c>
      <x:c r="R68" s="46" t="str">
        <x:f>IF(A68="","",IF(G68="Cancelada","Sin acción",IF(P68="Vencida","Acción requerida",IF(N68&gt;='CONFIGURACIÓN'!$B$10,"Valor alto",IF(P68="Próxima a vencer","Supervisar","Rutina")))))</x:f>
      </x:c>
    </x:row>
    <x:row r="69">
      <x:c r="A69" s="46" t="str">
        <x:f>IF('ÓRDENES-DE-COMPRA'!A69="","",'ÓRDENES-DE-COMPRA'!A69)</x:f>
      </x:c>
      <x:c r="B69" s="46" t="str">
        <x:f>IF(A69="","",'ÓRDENES-DE-COMPRA'!C69)</x:f>
      </x:c>
      <x:c r="C69" s="46" t="str">
        <x:f>IF(A69="","",'ÓRDENES-DE-COMPRA'!D69)</x:f>
      </x:c>
      <x:c r="D69" s="46" t="str">
        <x:f>IF(A69="","",'ÓRDENES-DE-COMPRA'!E69)</x:f>
      </x:c>
      <x:c r="E69" s="75" t="str">
        <x:f>IF(A69="","",'ÓRDENES-DE-COMPRA'!B69)</x:f>
      </x:c>
      <x:c r="F69" s="75" t="str">
        <x:f>IF(A69="","",'ÓRDENES-DE-COMPRA'!F69)</x:f>
      </x:c>
      <x:c r="G69" s="46" t="str">
        <x:f>IF(A69="","",'ÓRDENES-DE-COMPRA'!H69)</x:f>
      </x:c>
      <x:c r="H69" s="46" t="str">
        <x:f>IF(A69="","",'ÓRDENES-DE-COMPRA'!L69)</x:f>
      </x:c>
      <x:c r="I69" s="59" t="str">
        <x:f>IF(A69="","",'ÓRDENES-DE-COMPRA'!M69)</x:f>
      </x:c>
      <x:c r="J69" s="59" t="str">
        <x:f>IF(A69="","",'ÓRDENES-DE-COMPRA'!N69)</x:f>
      </x:c>
      <x:c r="K69" s="59" t="str">
        <x:f>IF(A69="","",'ÓRDENES-DE-COMPRA'!J69)</x:f>
      </x:c>
      <x:c r="L69" s="59" t="str">
        <x:f>IF(A69="","",'ÓRDENES-DE-COMPRA'!O69)</x:f>
      </x:c>
      <x:c r="M69" s="59" t="str">
        <x:f>IF(A69="","",'ÓRDENES-DE-COMPRA'!P69)</x:f>
      </x:c>
      <x:c r="N69" s="59" t="str">
        <x:f>IF(A69="","",'ÓRDENES-DE-COMPRA'!Q69)</x:f>
      </x:c>
      <x:c r="O69" s="60" t="str">
        <x:f>IF(A69="","",'ÓRDENES-DE-COMPRA'!R69)</x:f>
      </x:c>
      <x:c r="P69" s="46" t="str">
        <x:f>IF(A69="","",'ÓRDENES-DE-COMPRA'!S69)</x:f>
      </x:c>
      <x:c r="Q69" s="76" t="str">
        <x:f>IF(A69="","",IF(OR(N69=0,F69=""),0,MAX('CONFIGURACIÓN'!$B$7-F69,0)))</x:f>
      </x:c>
      <x:c r="R69" s="46" t="str">
        <x:f>IF(A69="","",IF(G69="Cancelada","Sin acción",IF(P69="Vencida","Acción requerida",IF(N69&gt;='CONFIGURACIÓN'!$B$10,"Valor alto",IF(P69="Próxima a vencer","Supervisar","Rutina")))))</x:f>
      </x:c>
    </x:row>
    <x:row r="70">
      <x:c r="A70" s="46" t="str">
        <x:f>IF('ÓRDENES-DE-COMPRA'!A70="","",'ÓRDENES-DE-COMPRA'!A70)</x:f>
      </x:c>
      <x:c r="B70" s="46" t="str">
        <x:f>IF(A70="","",'ÓRDENES-DE-COMPRA'!C70)</x:f>
      </x:c>
      <x:c r="C70" s="46" t="str">
        <x:f>IF(A70="","",'ÓRDENES-DE-COMPRA'!D70)</x:f>
      </x:c>
      <x:c r="D70" s="46" t="str">
        <x:f>IF(A70="","",'ÓRDENES-DE-COMPRA'!E70)</x:f>
      </x:c>
      <x:c r="E70" s="75" t="str">
        <x:f>IF(A70="","",'ÓRDENES-DE-COMPRA'!B70)</x:f>
      </x:c>
      <x:c r="F70" s="75" t="str">
        <x:f>IF(A70="","",'ÓRDENES-DE-COMPRA'!F70)</x:f>
      </x:c>
      <x:c r="G70" s="46" t="str">
        <x:f>IF(A70="","",'ÓRDENES-DE-COMPRA'!H70)</x:f>
      </x:c>
      <x:c r="H70" s="46" t="str">
        <x:f>IF(A70="","",'ÓRDENES-DE-COMPRA'!L70)</x:f>
      </x:c>
      <x:c r="I70" s="59" t="str">
        <x:f>IF(A70="","",'ÓRDENES-DE-COMPRA'!M70)</x:f>
      </x:c>
      <x:c r="J70" s="59" t="str">
        <x:f>IF(A70="","",'ÓRDENES-DE-COMPRA'!N70)</x:f>
      </x:c>
      <x:c r="K70" s="59" t="str">
        <x:f>IF(A70="","",'ÓRDENES-DE-COMPRA'!J70)</x:f>
      </x:c>
      <x:c r="L70" s="59" t="str">
        <x:f>IF(A70="","",'ÓRDENES-DE-COMPRA'!O70)</x:f>
      </x:c>
      <x:c r="M70" s="59" t="str">
        <x:f>IF(A70="","",'ÓRDENES-DE-COMPRA'!P70)</x:f>
      </x:c>
      <x:c r="N70" s="59" t="str">
        <x:f>IF(A70="","",'ÓRDENES-DE-COMPRA'!Q70)</x:f>
      </x:c>
      <x:c r="O70" s="60" t="str">
        <x:f>IF(A70="","",'ÓRDENES-DE-COMPRA'!R70)</x:f>
      </x:c>
      <x:c r="P70" s="46" t="str">
        <x:f>IF(A70="","",'ÓRDENES-DE-COMPRA'!S70)</x:f>
      </x:c>
      <x:c r="Q70" s="76" t="str">
        <x:f>IF(A70="","",IF(OR(N70=0,F70=""),0,MAX('CONFIGURACIÓN'!$B$7-F70,0)))</x:f>
      </x:c>
      <x:c r="R70" s="46" t="str">
        <x:f>IF(A70="","",IF(G70="Cancelada","Sin acción",IF(P70="Vencida","Acción requerida",IF(N70&gt;='CONFIGURACIÓN'!$B$10,"Valor alto",IF(P70="Próxima a vencer","Supervisar","Rutina")))))</x:f>
      </x:c>
    </x:row>
    <x:row r="71">
      <x:c r="A71" s="46" t="str">
        <x:f>IF('ÓRDENES-DE-COMPRA'!A71="","",'ÓRDENES-DE-COMPRA'!A71)</x:f>
      </x:c>
      <x:c r="B71" s="46" t="str">
        <x:f>IF(A71="","",'ÓRDENES-DE-COMPRA'!C71)</x:f>
      </x:c>
      <x:c r="C71" s="46" t="str">
        <x:f>IF(A71="","",'ÓRDENES-DE-COMPRA'!D71)</x:f>
      </x:c>
      <x:c r="D71" s="46" t="str">
        <x:f>IF(A71="","",'ÓRDENES-DE-COMPRA'!E71)</x:f>
      </x:c>
      <x:c r="E71" s="75" t="str">
        <x:f>IF(A71="","",'ÓRDENES-DE-COMPRA'!B71)</x:f>
      </x:c>
      <x:c r="F71" s="75" t="str">
        <x:f>IF(A71="","",'ÓRDENES-DE-COMPRA'!F71)</x:f>
      </x:c>
      <x:c r="G71" s="46" t="str">
        <x:f>IF(A71="","",'ÓRDENES-DE-COMPRA'!H71)</x:f>
      </x:c>
      <x:c r="H71" s="46" t="str">
        <x:f>IF(A71="","",'ÓRDENES-DE-COMPRA'!L71)</x:f>
      </x:c>
      <x:c r="I71" s="59" t="str">
        <x:f>IF(A71="","",'ÓRDENES-DE-COMPRA'!M71)</x:f>
      </x:c>
      <x:c r="J71" s="59" t="str">
        <x:f>IF(A71="","",'ÓRDENES-DE-COMPRA'!N71)</x:f>
      </x:c>
      <x:c r="K71" s="59" t="str">
        <x:f>IF(A71="","",'ÓRDENES-DE-COMPRA'!J71)</x:f>
      </x:c>
      <x:c r="L71" s="59" t="str">
        <x:f>IF(A71="","",'ÓRDENES-DE-COMPRA'!O71)</x:f>
      </x:c>
      <x:c r="M71" s="59" t="str">
        <x:f>IF(A71="","",'ÓRDENES-DE-COMPRA'!P71)</x:f>
      </x:c>
      <x:c r="N71" s="59" t="str">
        <x:f>IF(A71="","",'ÓRDENES-DE-COMPRA'!Q71)</x:f>
      </x:c>
      <x:c r="O71" s="60" t="str">
        <x:f>IF(A71="","",'ÓRDENES-DE-COMPRA'!R71)</x:f>
      </x:c>
      <x:c r="P71" s="46" t="str">
        <x:f>IF(A71="","",'ÓRDENES-DE-COMPRA'!S71)</x:f>
      </x:c>
      <x:c r="Q71" s="76" t="str">
        <x:f>IF(A71="","",IF(OR(N71=0,F71=""),0,MAX('CONFIGURACIÓN'!$B$7-F71,0)))</x:f>
      </x:c>
      <x:c r="R71" s="46" t="str">
        <x:f>IF(A71="","",IF(G71="Cancelada","Sin acción",IF(P71="Vencida","Acción requerida",IF(N71&gt;='CONFIGURACIÓN'!$B$10,"Valor alto",IF(P71="Próxima a vencer","Supervisar","Rutina")))))</x:f>
      </x:c>
    </x:row>
    <x:row r="72">
      <x:c r="A72" s="46" t="str">
        <x:f>IF('ÓRDENES-DE-COMPRA'!A72="","",'ÓRDENES-DE-COMPRA'!A72)</x:f>
      </x:c>
      <x:c r="B72" s="46" t="str">
        <x:f>IF(A72="","",'ÓRDENES-DE-COMPRA'!C72)</x:f>
      </x:c>
      <x:c r="C72" s="46" t="str">
        <x:f>IF(A72="","",'ÓRDENES-DE-COMPRA'!D72)</x:f>
      </x:c>
      <x:c r="D72" s="46" t="str">
        <x:f>IF(A72="","",'ÓRDENES-DE-COMPRA'!E72)</x:f>
      </x:c>
      <x:c r="E72" s="75" t="str">
        <x:f>IF(A72="","",'ÓRDENES-DE-COMPRA'!B72)</x:f>
      </x:c>
      <x:c r="F72" s="75" t="str">
        <x:f>IF(A72="","",'ÓRDENES-DE-COMPRA'!F72)</x:f>
      </x:c>
      <x:c r="G72" s="46" t="str">
        <x:f>IF(A72="","",'ÓRDENES-DE-COMPRA'!H72)</x:f>
      </x:c>
      <x:c r="H72" s="46" t="str">
        <x:f>IF(A72="","",'ÓRDENES-DE-COMPRA'!L72)</x:f>
      </x:c>
      <x:c r="I72" s="59" t="str">
        <x:f>IF(A72="","",'ÓRDENES-DE-COMPRA'!M72)</x:f>
      </x:c>
      <x:c r="J72" s="59" t="str">
        <x:f>IF(A72="","",'ÓRDENES-DE-COMPRA'!N72)</x:f>
      </x:c>
      <x:c r="K72" s="59" t="str">
        <x:f>IF(A72="","",'ÓRDENES-DE-COMPRA'!J72)</x:f>
      </x:c>
      <x:c r="L72" s="59" t="str">
        <x:f>IF(A72="","",'ÓRDENES-DE-COMPRA'!O72)</x:f>
      </x:c>
      <x:c r="M72" s="59" t="str">
        <x:f>IF(A72="","",'ÓRDENES-DE-COMPRA'!P72)</x:f>
      </x:c>
      <x:c r="N72" s="59" t="str">
        <x:f>IF(A72="","",'ÓRDENES-DE-COMPRA'!Q72)</x:f>
      </x:c>
      <x:c r="O72" s="60" t="str">
        <x:f>IF(A72="","",'ÓRDENES-DE-COMPRA'!R72)</x:f>
      </x:c>
      <x:c r="P72" s="46" t="str">
        <x:f>IF(A72="","",'ÓRDENES-DE-COMPRA'!S72)</x:f>
      </x:c>
      <x:c r="Q72" s="76" t="str">
        <x:f>IF(A72="","",IF(OR(N72=0,F72=""),0,MAX('CONFIGURACIÓN'!$B$7-F72,0)))</x:f>
      </x:c>
      <x:c r="R72" s="46" t="str">
        <x:f>IF(A72="","",IF(G72="Cancelada","Sin acción",IF(P72="Vencida","Acción requerida",IF(N72&gt;='CONFIGURACIÓN'!$B$10,"Valor alto",IF(P72="Próxima a vencer","Supervisar","Rutina")))))</x:f>
      </x:c>
    </x:row>
    <x:row r="73">
      <x:c r="A73" s="46" t="str">
        <x:f>IF('ÓRDENES-DE-COMPRA'!A73="","",'ÓRDENES-DE-COMPRA'!A73)</x:f>
      </x:c>
      <x:c r="B73" s="46" t="str">
        <x:f>IF(A73="","",'ÓRDENES-DE-COMPRA'!C73)</x:f>
      </x:c>
      <x:c r="C73" s="46" t="str">
        <x:f>IF(A73="","",'ÓRDENES-DE-COMPRA'!D73)</x:f>
      </x:c>
      <x:c r="D73" s="46" t="str">
        <x:f>IF(A73="","",'ÓRDENES-DE-COMPRA'!E73)</x:f>
      </x:c>
      <x:c r="E73" s="75" t="str">
        <x:f>IF(A73="","",'ÓRDENES-DE-COMPRA'!B73)</x:f>
      </x:c>
      <x:c r="F73" s="75" t="str">
        <x:f>IF(A73="","",'ÓRDENES-DE-COMPRA'!F73)</x:f>
      </x:c>
      <x:c r="G73" s="46" t="str">
        <x:f>IF(A73="","",'ÓRDENES-DE-COMPRA'!H73)</x:f>
      </x:c>
      <x:c r="H73" s="46" t="str">
        <x:f>IF(A73="","",'ÓRDENES-DE-COMPRA'!L73)</x:f>
      </x:c>
      <x:c r="I73" s="59" t="str">
        <x:f>IF(A73="","",'ÓRDENES-DE-COMPRA'!M73)</x:f>
      </x:c>
      <x:c r="J73" s="59" t="str">
        <x:f>IF(A73="","",'ÓRDENES-DE-COMPRA'!N73)</x:f>
      </x:c>
      <x:c r="K73" s="59" t="str">
        <x:f>IF(A73="","",'ÓRDENES-DE-COMPRA'!J73)</x:f>
      </x:c>
      <x:c r="L73" s="59" t="str">
        <x:f>IF(A73="","",'ÓRDENES-DE-COMPRA'!O73)</x:f>
      </x:c>
      <x:c r="M73" s="59" t="str">
        <x:f>IF(A73="","",'ÓRDENES-DE-COMPRA'!P73)</x:f>
      </x:c>
      <x:c r="N73" s="59" t="str">
        <x:f>IF(A73="","",'ÓRDENES-DE-COMPRA'!Q73)</x:f>
      </x:c>
      <x:c r="O73" s="60" t="str">
        <x:f>IF(A73="","",'ÓRDENES-DE-COMPRA'!R73)</x:f>
      </x:c>
      <x:c r="P73" s="46" t="str">
        <x:f>IF(A73="","",'ÓRDENES-DE-COMPRA'!S73)</x:f>
      </x:c>
      <x:c r="Q73" s="76" t="str">
        <x:f>IF(A73="","",IF(OR(N73=0,F73=""),0,MAX('CONFIGURACIÓN'!$B$7-F73,0)))</x:f>
      </x:c>
      <x:c r="R73" s="46" t="str">
        <x:f>IF(A73="","",IF(G73="Cancelada","Sin acción",IF(P73="Vencida","Acción requerida",IF(N73&gt;='CONFIGURACIÓN'!$B$10,"Valor alto",IF(P73="Próxima a vencer","Supervisar","Rutina")))))</x:f>
      </x:c>
    </x:row>
    <x:row r="74">
      <x:c r="A74" s="46" t="str">
        <x:f>IF('ÓRDENES-DE-COMPRA'!A74="","",'ÓRDENES-DE-COMPRA'!A74)</x:f>
      </x:c>
      <x:c r="B74" s="46" t="str">
        <x:f>IF(A74="","",'ÓRDENES-DE-COMPRA'!C74)</x:f>
      </x:c>
      <x:c r="C74" s="46" t="str">
        <x:f>IF(A74="","",'ÓRDENES-DE-COMPRA'!D74)</x:f>
      </x:c>
      <x:c r="D74" s="46" t="str">
        <x:f>IF(A74="","",'ÓRDENES-DE-COMPRA'!E74)</x:f>
      </x:c>
      <x:c r="E74" s="75" t="str">
        <x:f>IF(A74="","",'ÓRDENES-DE-COMPRA'!B74)</x:f>
      </x:c>
      <x:c r="F74" s="75" t="str">
        <x:f>IF(A74="","",'ÓRDENES-DE-COMPRA'!F74)</x:f>
      </x:c>
      <x:c r="G74" s="46" t="str">
        <x:f>IF(A74="","",'ÓRDENES-DE-COMPRA'!H74)</x:f>
      </x:c>
      <x:c r="H74" s="46" t="str">
        <x:f>IF(A74="","",'ÓRDENES-DE-COMPRA'!L74)</x:f>
      </x:c>
      <x:c r="I74" s="59" t="str">
        <x:f>IF(A74="","",'ÓRDENES-DE-COMPRA'!M74)</x:f>
      </x:c>
      <x:c r="J74" s="59" t="str">
        <x:f>IF(A74="","",'ÓRDENES-DE-COMPRA'!N74)</x:f>
      </x:c>
      <x:c r="K74" s="59" t="str">
        <x:f>IF(A74="","",'ÓRDENES-DE-COMPRA'!J74)</x:f>
      </x:c>
      <x:c r="L74" s="59" t="str">
        <x:f>IF(A74="","",'ÓRDENES-DE-COMPRA'!O74)</x:f>
      </x:c>
      <x:c r="M74" s="59" t="str">
        <x:f>IF(A74="","",'ÓRDENES-DE-COMPRA'!P74)</x:f>
      </x:c>
      <x:c r="N74" s="59" t="str">
        <x:f>IF(A74="","",'ÓRDENES-DE-COMPRA'!Q74)</x:f>
      </x:c>
      <x:c r="O74" s="60" t="str">
        <x:f>IF(A74="","",'ÓRDENES-DE-COMPRA'!R74)</x:f>
      </x:c>
      <x:c r="P74" s="46" t="str">
        <x:f>IF(A74="","",'ÓRDENES-DE-COMPRA'!S74)</x:f>
      </x:c>
      <x:c r="Q74" s="76" t="str">
        <x:f>IF(A74="","",IF(OR(N74=0,F74=""),0,MAX('CONFIGURACIÓN'!$B$7-F74,0)))</x:f>
      </x:c>
      <x:c r="R74" s="46" t="str">
        <x:f>IF(A74="","",IF(G74="Cancelada","Sin acción",IF(P74="Vencida","Acción requerida",IF(N74&gt;='CONFIGURACIÓN'!$B$10,"Valor alto",IF(P74="Próxima a vencer","Supervisar","Rutina")))))</x:f>
      </x:c>
    </x:row>
    <x:row r="75">
      <x:c r="A75" s="46" t="str">
        <x:f>IF('ÓRDENES-DE-COMPRA'!A75="","",'ÓRDENES-DE-COMPRA'!A75)</x:f>
      </x:c>
      <x:c r="B75" s="46" t="str">
        <x:f>IF(A75="","",'ÓRDENES-DE-COMPRA'!C75)</x:f>
      </x:c>
      <x:c r="C75" s="46" t="str">
        <x:f>IF(A75="","",'ÓRDENES-DE-COMPRA'!D75)</x:f>
      </x:c>
      <x:c r="D75" s="46" t="str">
        <x:f>IF(A75="","",'ÓRDENES-DE-COMPRA'!E75)</x:f>
      </x:c>
      <x:c r="E75" s="75" t="str">
        <x:f>IF(A75="","",'ÓRDENES-DE-COMPRA'!B75)</x:f>
      </x:c>
      <x:c r="F75" s="75" t="str">
        <x:f>IF(A75="","",'ÓRDENES-DE-COMPRA'!F75)</x:f>
      </x:c>
      <x:c r="G75" s="46" t="str">
        <x:f>IF(A75="","",'ÓRDENES-DE-COMPRA'!H75)</x:f>
      </x:c>
      <x:c r="H75" s="46" t="str">
        <x:f>IF(A75="","",'ÓRDENES-DE-COMPRA'!L75)</x:f>
      </x:c>
      <x:c r="I75" s="59" t="str">
        <x:f>IF(A75="","",'ÓRDENES-DE-COMPRA'!M75)</x:f>
      </x:c>
      <x:c r="J75" s="59" t="str">
        <x:f>IF(A75="","",'ÓRDENES-DE-COMPRA'!N75)</x:f>
      </x:c>
      <x:c r="K75" s="59" t="str">
        <x:f>IF(A75="","",'ÓRDENES-DE-COMPRA'!J75)</x:f>
      </x:c>
      <x:c r="L75" s="59" t="str">
        <x:f>IF(A75="","",'ÓRDENES-DE-COMPRA'!O75)</x:f>
      </x:c>
      <x:c r="M75" s="59" t="str">
        <x:f>IF(A75="","",'ÓRDENES-DE-COMPRA'!P75)</x:f>
      </x:c>
      <x:c r="N75" s="59" t="str">
        <x:f>IF(A75="","",'ÓRDENES-DE-COMPRA'!Q75)</x:f>
      </x:c>
      <x:c r="O75" s="60" t="str">
        <x:f>IF(A75="","",'ÓRDENES-DE-COMPRA'!R75)</x:f>
      </x:c>
      <x:c r="P75" s="46" t="str">
        <x:f>IF(A75="","",'ÓRDENES-DE-COMPRA'!S75)</x:f>
      </x:c>
      <x:c r="Q75" s="76" t="str">
        <x:f>IF(A75="","",IF(OR(N75=0,F75=""),0,MAX('CONFIGURACIÓN'!$B$7-F75,0)))</x:f>
      </x:c>
      <x:c r="R75" s="46" t="str">
        <x:f>IF(A75="","",IF(G75="Cancelada","Sin acción",IF(P75="Vencida","Acción requerida",IF(N75&gt;='CONFIGURACIÓN'!$B$10,"Valor alto",IF(P75="Próxima a vencer","Supervisar","Rutina")))))</x:f>
      </x:c>
    </x:row>
    <x:row r="76">
      <x:c r="A76" s="46" t="str">
        <x:f>IF('ÓRDENES-DE-COMPRA'!A76="","",'ÓRDENES-DE-COMPRA'!A76)</x:f>
      </x:c>
      <x:c r="B76" s="46" t="str">
        <x:f>IF(A76="","",'ÓRDENES-DE-COMPRA'!C76)</x:f>
      </x:c>
      <x:c r="C76" s="46" t="str">
        <x:f>IF(A76="","",'ÓRDENES-DE-COMPRA'!D76)</x:f>
      </x:c>
      <x:c r="D76" s="46" t="str">
        <x:f>IF(A76="","",'ÓRDENES-DE-COMPRA'!E76)</x:f>
      </x:c>
      <x:c r="E76" s="75" t="str">
        <x:f>IF(A76="","",'ÓRDENES-DE-COMPRA'!B76)</x:f>
      </x:c>
      <x:c r="F76" s="75" t="str">
        <x:f>IF(A76="","",'ÓRDENES-DE-COMPRA'!F76)</x:f>
      </x:c>
      <x:c r="G76" s="46" t="str">
        <x:f>IF(A76="","",'ÓRDENES-DE-COMPRA'!H76)</x:f>
      </x:c>
      <x:c r="H76" s="46" t="str">
        <x:f>IF(A76="","",'ÓRDENES-DE-COMPRA'!L76)</x:f>
      </x:c>
      <x:c r="I76" s="59" t="str">
        <x:f>IF(A76="","",'ÓRDENES-DE-COMPRA'!M76)</x:f>
      </x:c>
      <x:c r="J76" s="59" t="str">
        <x:f>IF(A76="","",'ÓRDENES-DE-COMPRA'!N76)</x:f>
      </x:c>
      <x:c r="K76" s="59" t="str">
        <x:f>IF(A76="","",'ÓRDENES-DE-COMPRA'!J76)</x:f>
      </x:c>
      <x:c r="L76" s="59" t="str">
        <x:f>IF(A76="","",'ÓRDENES-DE-COMPRA'!O76)</x:f>
      </x:c>
      <x:c r="M76" s="59" t="str">
        <x:f>IF(A76="","",'ÓRDENES-DE-COMPRA'!P76)</x:f>
      </x:c>
      <x:c r="N76" s="59" t="str">
        <x:f>IF(A76="","",'ÓRDENES-DE-COMPRA'!Q76)</x:f>
      </x:c>
      <x:c r="O76" s="60" t="str">
        <x:f>IF(A76="","",'ÓRDENES-DE-COMPRA'!R76)</x:f>
      </x:c>
      <x:c r="P76" s="46" t="str">
        <x:f>IF(A76="","",'ÓRDENES-DE-COMPRA'!S76)</x:f>
      </x:c>
      <x:c r="Q76" s="76" t="str">
        <x:f>IF(A76="","",IF(OR(N76=0,F76=""),0,MAX('CONFIGURACIÓN'!$B$7-F76,0)))</x:f>
      </x:c>
      <x:c r="R76" s="46" t="str">
        <x:f>IF(A76="","",IF(G76="Cancelada","Sin acción",IF(P76="Vencida","Acción requerida",IF(N76&gt;='CONFIGURACIÓN'!$B$10,"Valor alto",IF(P76="Próxima a vencer","Supervisar","Rutina")))))</x:f>
      </x:c>
    </x:row>
    <x:row r="77">
      <x:c r="A77" s="46" t="str">
        <x:f>IF('ÓRDENES-DE-COMPRA'!A77="","",'ÓRDENES-DE-COMPRA'!A77)</x:f>
      </x:c>
      <x:c r="B77" s="46" t="str">
        <x:f>IF(A77="","",'ÓRDENES-DE-COMPRA'!C77)</x:f>
      </x:c>
      <x:c r="C77" s="46" t="str">
        <x:f>IF(A77="","",'ÓRDENES-DE-COMPRA'!D77)</x:f>
      </x:c>
      <x:c r="D77" s="46" t="str">
        <x:f>IF(A77="","",'ÓRDENES-DE-COMPRA'!E77)</x:f>
      </x:c>
      <x:c r="E77" s="75" t="str">
        <x:f>IF(A77="","",'ÓRDENES-DE-COMPRA'!B77)</x:f>
      </x:c>
      <x:c r="F77" s="75" t="str">
        <x:f>IF(A77="","",'ÓRDENES-DE-COMPRA'!F77)</x:f>
      </x:c>
      <x:c r="G77" s="46" t="str">
        <x:f>IF(A77="","",'ÓRDENES-DE-COMPRA'!H77)</x:f>
      </x:c>
      <x:c r="H77" s="46" t="str">
        <x:f>IF(A77="","",'ÓRDENES-DE-COMPRA'!L77)</x:f>
      </x:c>
      <x:c r="I77" s="59" t="str">
        <x:f>IF(A77="","",'ÓRDENES-DE-COMPRA'!M77)</x:f>
      </x:c>
      <x:c r="J77" s="59" t="str">
        <x:f>IF(A77="","",'ÓRDENES-DE-COMPRA'!N77)</x:f>
      </x:c>
      <x:c r="K77" s="59" t="str">
        <x:f>IF(A77="","",'ÓRDENES-DE-COMPRA'!J77)</x:f>
      </x:c>
      <x:c r="L77" s="59" t="str">
        <x:f>IF(A77="","",'ÓRDENES-DE-COMPRA'!O77)</x:f>
      </x:c>
      <x:c r="M77" s="59" t="str">
        <x:f>IF(A77="","",'ÓRDENES-DE-COMPRA'!P77)</x:f>
      </x:c>
      <x:c r="N77" s="59" t="str">
        <x:f>IF(A77="","",'ÓRDENES-DE-COMPRA'!Q77)</x:f>
      </x:c>
      <x:c r="O77" s="60" t="str">
        <x:f>IF(A77="","",'ÓRDENES-DE-COMPRA'!R77)</x:f>
      </x:c>
      <x:c r="P77" s="46" t="str">
        <x:f>IF(A77="","",'ÓRDENES-DE-COMPRA'!S77)</x:f>
      </x:c>
      <x:c r="Q77" s="76" t="str">
        <x:f>IF(A77="","",IF(OR(N77=0,F77=""),0,MAX('CONFIGURACIÓN'!$B$7-F77,0)))</x:f>
      </x:c>
      <x:c r="R77" s="46" t="str">
        <x:f>IF(A77="","",IF(G77="Cancelada","Sin acción",IF(P77="Vencida","Acción requerida",IF(N77&gt;='CONFIGURACIÓN'!$B$10,"Valor alto",IF(P77="Próxima a vencer","Supervisar","Rutina")))))</x:f>
      </x:c>
    </x:row>
    <x:row r="78">
      <x:c r="A78" s="46" t="str">
        <x:f>IF('ÓRDENES-DE-COMPRA'!A78="","",'ÓRDENES-DE-COMPRA'!A78)</x:f>
      </x:c>
      <x:c r="B78" s="46" t="str">
        <x:f>IF(A78="","",'ÓRDENES-DE-COMPRA'!C78)</x:f>
      </x:c>
      <x:c r="C78" s="46" t="str">
        <x:f>IF(A78="","",'ÓRDENES-DE-COMPRA'!D78)</x:f>
      </x:c>
      <x:c r="D78" s="46" t="str">
        <x:f>IF(A78="","",'ÓRDENES-DE-COMPRA'!E78)</x:f>
      </x:c>
      <x:c r="E78" s="75" t="str">
        <x:f>IF(A78="","",'ÓRDENES-DE-COMPRA'!B78)</x:f>
      </x:c>
      <x:c r="F78" s="75" t="str">
        <x:f>IF(A78="","",'ÓRDENES-DE-COMPRA'!F78)</x:f>
      </x:c>
      <x:c r="G78" s="46" t="str">
        <x:f>IF(A78="","",'ÓRDENES-DE-COMPRA'!H78)</x:f>
      </x:c>
      <x:c r="H78" s="46" t="str">
        <x:f>IF(A78="","",'ÓRDENES-DE-COMPRA'!L78)</x:f>
      </x:c>
      <x:c r="I78" s="59" t="str">
        <x:f>IF(A78="","",'ÓRDENES-DE-COMPRA'!M78)</x:f>
      </x:c>
      <x:c r="J78" s="59" t="str">
        <x:f>IF(A78="","",'ÓRDENES-DE-COMPRA'!N78)</x:f>
      </x:c>
      <x:c r="K78" s="59" t="str">
        <x:f>IF(A78="","",'ÓRDENES-DE-COMPRA'!J78)</x:f>
      </x:c>
      <x:c r="L78" s="59" t="str">
        <x:f>IF(A78="","",'ÓRDENES-DE-COMPRA'!O78)</x:f>
      </x:c>
      <x:c r="M78" s="59" t="str">
        <x:f>IF(A78="","",'ÓRDENES-DE-COMPRA'!P78)</x:f>
      </x:c>
      <x:c r="N78" s="59" t="str">
        <x:f>IF(A78="","",'ÓRDENES-DE-COMPRA'!Q78)</x:f>
      </x:c>
      <x:c r="O78" s="60" t="str">
        <x:f>IF(A78="","",'ÓRDENES-DE-COMPRA'!R78)</x:f>
      </x:c>
      <x:c r="P78" s="46" t="str">
        <x:f>IF(A78="","",'ÓRDENES-DE-COMPRA'!S78)</x:f>
      </x:c>
      <x:c r="Q78" s="76" t="str">
        <x:f>IF(A78="","",IF(OR(N78=0,F78=""),0,MAX('CONFIGURACIÓN'!$B$7-F78,0)))</x:f>
      </x:c>
      <x:c r="R78" s="46" t="str">
        <x:f>IF(A78="","",IF(G78="Cancelada","Sin acción",IF(P78="Vencida","Acción requerida",IF(N78&gt;='CONFIGURACIÓN'!$B$10,"Valor alto",IF(P78="Próxima a vencer","Supervisar","Rutina")))))</x:f>
      </x:c>
    </x:row>
    <x:row r="79">
      <x:c r="A79" s="46" t="str">
        <x:f>IF('ÓRDENES-DE-COMPRA'!A79="","",'ÓRDENES-DE-COMPRA'!A79)</x:f>
      </x:c>
      <x:c r="B79" s="46" t="str">
        <x:f>IF(A79="","",'ÓRDENES-DE-COMPRA'!C79)</x:f>
      </x:c>
      <x:c r="C79" s="46" t="str">
        <x:f>IF(A79="","",'ÓRDENES-DE-COMPRA'!D79)</x:f>
      </x:c>
      <x:c r="D79" s="46" t="str">
        <x:f>IF(A79="","",'ÓRDENES-DE-COMPRA'!E79)</x:f>
      </x:c>
      <x:c r="E79" s="75" t="str">
        <x:f>IF(A79="","",'ÓRDENES-DE-COMPRA'!B79)</x:f>
      </x:c>
      <x:c r="F79" s="75" t="str">
        <x:f>IF(A79="","",'ÓRDENES-DE-COMPRA'!F79)</x:f>
      </x:c>
      <x:c r="G79" s="46" t="str">
        <x:f>IF(A79="","",'ÓRDENES-DE-COMPRA'!H79)</x:f>
      </x:c>
      <x:c r="H79" s="46" t="str">
        <x:f>IF(A79="","",'ÓRDENES-DE-COMPRA'!L79)</x:f>
      </x:c>
      <x:c r="I79" s="59" t="str">
        <x:f>IF(A79="","",'ÓRDENES-DE-COMPRA'!M79)</x:f>
      </x:c>
      <x:c r="J79" s="59" t="str">
        <x:f>IF(A79="","",'ÓRDENES-DE-COMPRA'!N79)</x:f>
      </x:c>
      <x:c r="K79" s="59" t="str">
        <x:f>IF(A79="","",'ÓRDENES-DE-COMPRA'!J79)</x:f>
      </x:c>
      <x:c r="L79" s="59" t="str">
        <x:f>IF(A79="","",'ÓRDENES-DE-COMPRA'!O79)</x:f>
      </x:c>
      <x:c r="M79" s="59" t="str">
        <x:f>IF(A79="","",'ÓRDENES-DE-COMPRA'!P79)</x:f>
      </x:c>
      <x:c r="N79" s="59" t="str">
        <x:f>IF(A79="","",'ÓRDENES-DE-COMPRA'!Q79)</x:f>
      </x:c>
      <x:c r="O79" s="60" t="str">
        <x:f>IF(A79="","",'ÓRDENES-DE-COMPRA'!R79)</x:f>
      </x:c>
      <x:c r="P79" s="46" t="str">
        <x:f>IF(A79="","",'ÓRDENES-DE-COMPRA'!S79)</x:f>
      </x:c>
      <x:c r="Q79" s="76" t="str">
        <x:f>IF(A79="","",IF(OR(N79=0,F79=""),0,MAX('CONFIGURACIÓN'!$B$7-F79,0)))</x:f>
      </x:c>
      <x:c r="R79" s="46" t="str">
        <x:f>IF(A79="","",IF(G79="Cancelada","Sin acción",IF(P79="Vencida","Acción requerida",IF(N79&gt;='CONFIGURACIÓN'!$B$10,"Valor alto",IF(P79="Próxima a vencer","Supervisar","Rutina")))))</x:f>
      </x:c>
    </x:row>
    <x:row r="80">
      <x:c r="A80" s="46" t="str">
        <x:f>IF('ÓRDENES-DE-COMPRA'!A80="","",'ÓRDENES-DE-COMPRA'!A80)</x:f>
      </x:c>
      <x:c r="B80" s="46" t="str">
        <x:f>IF(A80="","",'ÓRDENES-DE-COMPRA'!C80)</x:f>
      </x:c>
      <x:c r="C80" s="46" t="str">
        <x:f>IF(A80="","",'ÓRDENES-DE-COMPRA'!D80)</x:f>
      </x:c>
      <x:c r="D80" s="46" t="str">
        <x:f>IF(A80="","",'ÓRDENES-DE-COMPRA'!E80)</x:f>
      </x:c>
      <x:c r="E80" s="75" t="str">
        <x:f>IF(A80="","",'ÓRDENES-DE-COMPRA'!B80)</x:f>
      </x:c>
      <x:c r="F80" s="75" t="str">
        <x:f>IF(A80="","",'ÓRDENES-DE-COMPRA'!F80)</x:f>
      </x:c>
      <x:c r="G80" s="46" t="str">
        <x:f>IF(A80="","",'ÓRDENES-DE-COMPRA'!H80)</x:f>
      </x:c>
      <x:c r="H80" s="46" t="str">
        <x:f>IF(A80="","",'ÓRDENES-DE-COMPRA'!L80)</x:f>
      </x:c>
      <x:c r="I80" s="59" t="str">
        <x:f>IF(A80="","",'ÓRDENES-DE-COMPRA'!M80)</x:f>
      </x:c>
      <x:c r="J80" s="59" t="str">
        <x:f>IF(A80="","",'ÓRDENES-DE-COMPRA'!N80)</x:f>
      </x:c>
      <x:c r="K80" s="59" t="str">
        <x:f>IF(A80="","",'ÓRDENES-DE-COMPRA'!J80)</x:f>
      </x:c>
      <x:c r="L80" s="59" t="str">
        <x:f>IF(A80="","",'ÓRDENES-DE-COMPRA'!O80)</x:f>
      </x:c>
      <x:c r="M80" s="59" t="str">
        <x:f>IF(A80="","",'ÓRDENES-DE-COMPRA'!P80)</x:f>
      </x:c>
      <x:c r="N80" s="59" t="str">
        <x:f>IF(A80="","",'ÓRDENES-DE-COMPRA'!Q80)</x:f>
      </x:c>
      <x:c r="O80" s="60" t="str">
        <x:f>IF(A80="","",'ÓRDENES-DE-COMPRA'!R80)</x:f>
      </x:c>
      <x:c r="P80" s="46" t="str">
        <x:f>IF(A80="","",'ÓRDENES-DE-COMPRA'!S80)</x:f>
      </x:c>
      <x:c r="Q80" s="76" t="str">
        <x:f>IF(A80="","",IF(OR(N80=0,F80=""),0,MAX('CONFIGURACIÓN'!$B$7-F80,0)))</x:f>
      </x:c>
      <x:c r="R80" s="46" t="str">
        <x:f>IF(A80="","",IF(G80="Cancelada","Sin acción",IF(P80="Vencida","Acción requerida",IF(N80&gt;='CONFIGURACIÓN'!$B$10,"Valor alto",IF(P80="Próxima a vencer","Supervisar","Rutina")))))</x:f>
      </x:c>
    </x:row>
    <x:row r="81">
      <x:c r="A81" s="46" t="str">
        <x:f>IF('ÓRDENES-DE-COMPRA'!A81="","",'ÓRDENES-DE-COMPRA'!A81)</x:f>
      </x:c>
      <x:c r="B81" s="46" t="str">
        <x:f>IF(A81="","",'ÓRDENES-DE-COMPRA'!C81)</x:f>
      </x:c>
      <x:c r="C81" s="46" t="str">
        <x:f>IF(A81="","",'ÓRDENES-DE-COMPRA'!D81)</x:f>
      </x:c>
      <x:c r="D81" s="46" t="str">
        <x:f>IF(A81="","",'ÓRDENES-DE-COMPRA'!E81)</x:f>
      </x:c>
      <x:c r="E81" s="75" t="str">
        <x:f>IF(A81="","",'ÓRDENES-DE-COMPRA'!B81)</x:f>
      </x:c>
      <x:c r="F81" s="75" t="str">
        <x:f>IF(A81="","",'ÓRDENES-DE-COMPRA'!F81)</x:f>
      </x:c>
      <x:c r="G81" s="46" t="str">
        <x:f>IF(A81="","",'ÓRDENES-DE-COMPRA'!H81)</x:f>
      </x:c>
      <x:c r="H81" s="46" t="str">
        <x:f>IF(A81="","",'ÓRDENES-DE-COMPRA'!L81)</x:f>
      </x:c>
      <x:c r="I81" s="59" t="str">
        <x:f>IF(A81="","",'ÓRDENES-DE-COMPRA'!M81)</x:f>
      </x:c>
      <x:c r="J81" s="59" t="str">
        <x:f>IF(A81="","",'ÓRDENES-DE-COMPRA'!N81)</x:f>
      </x:c>
      <x:c r="K81" s="59" t="str">
        <x:f>IF(A81="","",'ÓRDENES-DE-COMPRA'!J81)</x:f>
      </x:c>
      <x:c r="L81" s="59" t="str">
        <x:f>IF(A81="","",'ÓRDENES-DE-COMPRA'!O81)</x:f>
      </x:c>
      <x:c r="M81" s="59" t="str">
        <x:f>IF(A81="","",'ÓRDENES-DE-COMPRA'!P81)</x:f>
      </x:c>
      <x:c r="N81" s="59" t="str">
        <x:f>IF(A81="","",'ÓRDENES-DE-COMPRA'!Q81)</x:f>
      </x:c>
      <x:c r="O81" s="60" t="str">
        <x:f>IF(A81="","",'ÓRDENES-DE-COMPRA'!R81)</x:f>
      </x:c>
      <x:c r="P81" s="46" t="str">
        <x:f>IF(A81="","",'ÓRDENES-DE-COMPRA'!S81)</x:f>
      </x:c>
      <x:c r="Q81" s="76" t="str">
        <x:f>IF(A81="","",IF(OR(N81=0,F81=""),0,MAX('CONFIGURACIÓN'!$B$7-F81,0)))</x:f>
      </x:c>
      <x:c r="R81" s="46" t="str">
        <x:f>IF(A81="","",IF(G81="Cancelada","Sin acción",IF(P81="Vencida","Acción requerida",IF(N81&gt;='CONFIGURACIÓN'!$B$10,"Valor alto",IF(P81="Próxima a vencer","Supervisar","Rutina")))))</x:f>
      </x:c>
    </x:row>
    <x:row r="82">
      <x:c r="A82" s="46" t="str">
        <x:f>IF('ÓRDENES-DE-COMPRA'!A82="","",'ÓRDENES-DE-COMPRA'!A82)</x:f>
      </x:c>
      <x:c r="B82" s="46" t="str">
        <x:f>IF(A82="","",'ÓRDENES-DE-COMPRA'!C82)</x:f>
      </x:c>
      <x:c r="C82" s="46" t="str">
        <x:f>IF(A82="","",'ÓRDENES-DE-COMPRA'!D82)</x:f>
      </x:c>
      <x:c r="D82" s="46" t="str">
        <x:f>IF(A82="","",'ÓRDENES-DE-COMPRA'!E82)</x:f>
      </x:c>
      <x:c r="E82" s="75" t="str">
        <x:f>IF(A82="","",'ÓRDENES-DE-COMPRA'!B82)</x:f>
      </x:c>
      <x:c r="F82" s="75" t="str">
        <x:f>IF(A82="","",'ÓRDENES-DE-COMPRA'!F82)</x:f>
      </x:c>
      <x:c r="G82" s="46" t="str">
        <x:f>IF(A82="","",'ÓRDENES-DE-COMPRA'!H82)</x:f>
      </x:c>
      <x:c r="H82" s="46" t="str">
        <x:f>IF(A82="","",'ÓRDENES-DE-COMPRA'!L82)</x:f>
      </x:c>
      <x:c r="I82" s="59" t="str">
        <x:f>IF(A82="","",'ÓRDENES-DE-COMPRA'!M82)</x:f>
      </x:c>
      <x:c r="J82" s="59" t="str">
        <x:f>IF(A82="","",'ÓRDENES-DE-COMPRA'!N82)</x:f>
      </x:c>
      <x:c r="K82" s="59" t="str">
        <x:f>IF(A82="","",'ÓRDENES-DE-COMPRA'!J82)</x:f>
      </x:c>
      <x:c r="L82" s="59" t="str">
        <x:f>IF(A82="","",'ÓRDENES-DE-COMPRA'!O82)</x:f>
      </x:c>
      <x:c r="M82" s="59" t="str">
        <x:f>IF(A82="","",'ÓRDENES-DE-COMPRA'!P82)</x:f>
      </x:c>
      <x:c r="N82" s="59" t="str">
        <x:f>IF(A82="","",'ÓRDENES-DE-COMPRA'!Q82)</x:f>
      </x:c>
      <x:c r="O82" s="60" t="str">
        <x:f>IF(A82="","",'ÓRDENES-DE-COMPRA'!R82)</x:f>
      </x:c>
      <x:c r="P82" s="46" t="str">
        <x:f>IF(A82="","",'ÓRDENES-DE-COMPRA'!S82)</x:f>
      </x:c>
      <x:c r="Q82" s="76" t="str">
        <x:f>IF(A82="","",IF(OR(N82=0,F82=""),0,MAX('CONFIGURACIÓN'!$B$7-F82,0)))</x:f>
      </x:c>
      <x:c r="R82" s="46" t="str">
        <x:f>IF(A82="","",IF(G82="Cancelada","Sin acción",IF(P82="Vencida","Acción requerida",IF(N82&gt;='CONFIGURACIÓN'!$B$10,"Valor alto",IF(P82="Próxima a vencer","Supervisar","Rutina")))))</x:f>
      </x:c>
    </x:row>
    <x:row r="83">
      <x:c r="A83" s="46" t="str">
        <x:f>IF('ÓRDENES-DE-COMPRA'!A83="","",'ÓRDENES-DE-COMPRA'!A83)</x:f>
      </x:c>
      <x:c r="B83" s="46" t="str">
        <x:f>IF(A83="","",'ÓRDENES-DE-COMPRA'!C83)</x:f>
      </x:c>
      <x:c r="C83" s="46" t="str">
        <x:f>IF(A83="","",'ÓRDENES-DE-COMPRA'!D83)</x:f>
      </x:c>
      <x:c r="D83" s="46" t="str">
        <x:f>IF(A83="","",'ÓRDENES-DE-COMPRA'!E83)</x:f>
      </x:c>
      <x:c r="E83" s="75" t="str">
        <x:f>IF(A83="","",'ÓRDENES-DE-COMPRA'!B83)</x:f>
      </x:c>
      <x:c r="F83" s="75" t="str">
        <x:f>IF(A83="","",'ÓRDENES-DE-COMPRA'!F83)</x:f>
      </x:c>
      <x:c r="G83" s="46" t="str">
        <x:f>IF(A83="","",'ÓRDENES-DE-COMPRA'!H83)</x:f>
      </x:c>
      <x:c r="H83" s="46" t="str">
        <x:f>IF(A83="","",'ÓRDENES-DE-COMPRA'!L83)</x:f>
      </x:c>
      <x:c r="I83" s="59" t="str">
        <x:f>IF(A83="","",'ÓRDENES-DE-COMPRA'!M83)</x:f>
      </x:c>
      <x:c r="J83" s="59" t="str">
        <x:f>IF(A83="","",'ÓRDENES-DE-COMPRA'!N83)</x:f>
      </x:c>
      <x:c r="K83" s="59" t="str">
        <x:f>IF(A83="","",'ÓRDENES-DE-COMPRA'!J83)</x:f>
      </x:c>
      <x:c r="L83" s="59" t="str">
        <x:f>IF(A83="","",'ÓRDENES-DE-COMPRA'!O83)</x:f>
      </x:c>
      <x:c r="M83" s="59" t="str">
        <x:f>IF(A83="","",'ÓRDENES-DE-COMPRA'!P83)</x:f>
      </x:c>
      <x:c r="N83" s="59" t="str">
        <x:f>IF(A83="","",'ÓRDENES-DE-COMPRA'!Q83)</x:f>
      </x:c>
      <x:c r="O83" s="60" t="str">
        <x:f>IF(A83="","",'ÓRDENES-DE-COMPRA'!R83)</x:f>
      </x:c>
      <x:c r="P83" s="46" t="str">
        <x:f>IF(A83="","",'ÓRDENES-DE-COMPRA'!S83)</x:f>
      </x:c>
      <x:c r="Q83" s="76" t="str">
        <x:f>IF(A83="","",IF(OR(N83=0,F83=""),0,MAX('CONFIGURACIÓN'!$B$7-F83,0)))</x:f>
      </x:c>
      <x:c r="R83" s="46" t="str">
        <x:f>IF(A83="","",IF(G83="Cancelada","Sin acción",IF(P83="Vencida","Acción requerida",IF(N83&gt;='CONFIGURACIÓN'!$B$10,"Valor alto",IF(P83="Próxima a vencer","Supervisar","Rutina")))))</x:f>
      </x:c>
    </x:row>
    <x:row r="84">
      <x:c r="A84" s="46" t="str">
        <x:f>IF('ÓRDENES-DE-COMPRA'!A84="","",'ÓRDENES-DE-COMPRA'!A84)</x:f>
      </x:c>
      <x:c r="B84" s="46" t="str">
        <x:f>IF(A84="","",'ÓRDENES-DE-COMPRA'!C84)</x:f>
      </x:c>
      <x:c r="C84" s="46" t="str">
        <x:f>IF(A84="","",'ÓRDENES-DE-COMPRA'!D84)</x:f>
      </x:c>
      <x:c r="D84" s="46" t="str">
        <x:f>IF(A84="","",'ÓRDENES-DE-COMPRA'!E84)</x:f>
      </x:c>
      <x:c r="E84" s="75" t="str">
        <x:f>IF(A84="","",'ÓRDENES-DE-COMPRA'!B84)</x:f>
      </x:c>
      <x:c r="F84" s="75" t="str">
        <x:f>IF(A84="","",'ÓRDENES-DE-COMPRA'!F84)</x:f>
      </x:c>
      <x:c r="G84" s="46" t="str">
        <x:f>IF(A84="","",'ÓRDENES-DE-COMPRA'!H84)</x:f>
      </x:c>
      <x:c r="H84" s="46" t="str">
        <x:f>IF(A84="","",'ÓRDENES-DE-COMPRA'!L84)</x:f>
      </x:c>
      <x:c r="I84" s="59" t="str">
        <x:f>IF(A84="","",'ÓRDENES-DE-COMPRA'!M84)</x:f>
      </x:c>
      <x:c r="J84" s="59" t="str">
        <x:f>IF(A84="","",'ÓRDENES-DE-COMPRA'!N84)</x:f>
      </x:c>
      <x:c r="K84" s="59" t="str">
        <x:f>IF(A84="","",'ÓRDENES-DE-COMPRA'!J84)</x:f>
      </x:c>
      <x:c r="L84" s="59" t="str">
        <x:f>IF(A84="","",'ÓRDENES-DE-COMPRA'!O84)</x:f>
      </x:c>
      <x:c r="M84" s="59" t="str">
        <x:f>IF(A84="","",'ÓRDENES-DE-COMPRA'!P84)</x:f>
      </x:c>
      <x:c r="N84" s="59" t="str">
        <x:f>IF(A84="","",'ÓRDENES-DE-COMPRA'!Q84)</x:f>
      </x:c>
      <x:c r="O84" s="60" t="str">
        <x:f>IF(A84="","",'ÓRDENES-DE-COMPRA'!R84)</x:f>
      </x:c>
      <x:c r="P84" s="46" t="str">
        <x:f>IF(A84="","",'ÓRDENES-DE-COMPRA'!S84)</x:f>
      </x:c>
      <x:c r="Q84" s="76" t="str">
        <x:f>IF(A84="","",IF(OR(N84=0,F84=""),0,MAX('CONFIGURACIÓN'!$B$7-F84,0)))</x:f>
      </x:c>
      <x:c r="R84" s="46" t="str">
        <x:f>IF(A84="","",IF(G84="Cancelada","Sin acción",IF(P84="Vencida","Acción requerida",IF(N84&gt;='CONFIGURACIÓN'!$B$10,"Valor alto",IF(P84="Próxima a vencer","Supervisar","Rutina")))))</x:f>
      </x:c>
    </x:row>
    <x:row r="85">
      <x:c r="A85" s="46" t="str">
        <x:f>IF('ÓRDENES-DE-COMPRA'!A85="","",'ÓRDENES-DE-COMPRA'!A85)</x:f>
      </x:c>
      <x:c r="B85" s="46" t="str">
        <x:f>IF(A85="","",'ÓRDENES-DE-COMPRA'!C85)</x:f>
      </x:c>
      <x:c r="C85" s="46" t="str">
        <x:f>IF(A85="","",'ÓRDENES-DE-COMPRA'!D85)</x:f>
      </x:c>
      <x:c r="D85" s="46" t="str">
        <x:f>IF(A85="","",'ÓRDENES-DE-COMPRA'!E85)</x:f>
      </x:c>
      <x:c r="E85" s="75" t="str">
        <x:f>IF(A85="","",'ÓRDENES-DE-COMPRA'!B85)</x:f>
      </x:c>
      <x:c r="F85" s="75" t="str">
        <x:f>IF(A85="","",'ÓRDENES-DE-COMPRA'!F85)</x:f>
      </x:c>
      <x:c r="G85" s="46" t="str">
        <x:f>IF(A85="","",'ÓRDENES-DE-COMPRA'!H85)</x:f>
      </x:c>
      <x:c r="H85" s="46" t="str">
        <x:f>IF(A85="","",'ÓRDENES-DE-COMPRA'!L85)</x:f>
      </x:c>
      <x:c r="I85" s="59" t="str">
        <x:f>IF(A85="","",'ÓRDENES-DE-COMPRA'!M85)</x:f>
      </x:c>
      <x:c r="J85" s="59" t="str">
        <x:f>IF(A85="","",'ÓRDENES-DE-COMPRA'!N85)</x:f>
      </x:c>
      <x:c r="K85" s="59" t="str">
        <x:f>IF(A85="","",'ÓRDENES-DE-COMPRA'!J85)</x:f>
      </x:c>
      <x:c r="L85" s="59" t="str">
        <x:f>IF(A85="","",'ÓRDENES-DE-COMPRA'!O85)</x:f>
      </x:c>
      <x:c r="M85" s="59" t="str">
        <x:f>IF(A85="","",'ÓRDENES-DE-COMPRA'!P85)</x:f>
      </x:c>
      <x:c r="N85" s="59" t="str">
        <x:f>IF(A85="","",'ÓRDENES-DE-COMPRA'!Q85)</x:f>
      </x:c>
      <x:c r="O85" s="60" t="str">
        <x:f>IF(A85="","",'ÓRDENES-DE-COMPRA'!R85)</x:f>
      </x:c>
      <x:c r="P85" s="46" t="str">
        <x:f>IF(A85="","",'ÓRDENES-DE-COMPRA'!S85)</x:f>
      </x:c>
      <x:c r="Q85" s="76" t="str">
        <x:f>IF(A85="","",IF(OR(N85=0,F85=""),0,MAX('CONFIGURACIÓN'!$B$7-F85,0)))</x:f>
      </x:c>
      <x:c r="R85" s="46" t="str">
        <x:f>IF(A85="","",IF(G85="Cancelada","Sin acción",IF(P85="Vencida","Acción requerida",IF(N85&gt;='CONFIGURACIÓN'!$B$10,"Valor alto",IF(P85="Próxima a vencer","Supervisar","Rutina")))))</x:f>
      </x:c>
    </x:row>
    <x:row r="86">
      <x:c r="A86" s="46" t="str">
        <x:f>IF('ÓRDENES-DE-COMPRA'!A86="","",'ÓRDENES-DE-COMPRA'!A86)</x:f>
      </x:c>
      <x:c r="B86" s="46" t="str">
        <x:f>IF(A86="","",'ÓRDENES-DE-COMPRA'!C86)</x:f>
      </x:c>
      <x:c r="C86" s="46" t="str">
        <x:f>IF(A86="","",'ÓRDENES-DE-COMPRA'!D86)</x:f>
      </x:c>
      <x:c r="D86" s="46" t="str">
        <x:f>IF(A86="","",'ÓRDENES-DE-COMPRA'!E86)</x:f>
      </x:c>
      <x:c r="E86" s="75" t="str">
        <x:f>IF(A86="","",'ÓRDENES-DE-COMPRA'!B86)</x:f>
      </x:c>
      <x:c r="F86" s="75" t="str">
        <x:f>IF(A86="","",'ÓRDENES-DE-COMPRA'!F86)</x:f>
      </x:c>
      <x:c r="G86" s="46" t="str">
        <x:f>IF(A86="","",'ÓRDENES-DE-COMPRA'!H86)</x:f>
      </x:c>
      <x:c r="H86" s="46" t="str">
        <x:f>IF(A86="","",'ÓRDENES-DE-COMPRA'!L86)</x:f>
      </x:c>
      <x:c r="I86" s="59" t="str">
        <x:f>IF(A86="","",'ÓRDENES-DE-COMPRA'!M86)</x:f>
      </x:c>
      <x:c r="J86" s="59" t="str">
        <x:f>IF(A86="","",'ÓRDENES-DE-COMPRA'!N86)</x:f>
      </x:c>
      <x:c r="K86" s="59" t="str">
        <x:f>IF(A86="","",'ÓRDENES-DE-COMPRA'!J86)</x:f>
      </x:c>
      <x:c r="L86" s="59" t="str">
        <x:f>IF(A86="","",'ÓRDENES-DE-COMPRA'!O86)</x:f>
      </x:c>
      <x:c r="M86" s="59" t="str">
        <x:f>IF(A86="","",'ÓRDENES-DE-COMPRA'!P86)</x:f>
      </x:c>
      <x:c r="N86" s="59" t="str">
        <x:f>IF(A86="","",'ÓRDENES-DE-COMPRA'!Q86)</x:f>
      </x:c>
      <x:c r="O86" s="60" t="str">
        <x:f>IF(A86="","",'ÓRDENES-DE-COMPRA'!R86)</x:f>
      </x:c>
      <x:c r="P86" s="46" t="str">
        <x:f>IF(A86="","",'ÓRDENES-DE-COMPRA'!S86)</x:f>
      </x:c>
      <x:c r="Q86" s="76" t="str">
        <x:f>IF(A86="","",IF(OR(N86=0,F86=""),0,MAX('CONFIGURACIÓN'!$B$7-F86,0)))</x:f>
      </x:c>
      <x:c r="R86" s="46" t="str">
        <x:f>IF(A86="","",IF(G86="Cancelada","Sin acción",IF(P86="Vencida","Acción requerida",IF(N86&gt;='CONFIGURACIÓN'!$B$10,"Valor alto",IF(P86="Próxima a vencer","Supervisar","Rutina")))))</x:f>
      </x:c>
    </x:row>
    <x:row r="87">
      <x:c r="A87" s="46" t="str">
        <x:f>IF('ÓRDENES-DE-COMPRA'!A87="","",'ÓRDENES-DE-COMPRA'!A87)</x:f>
      </x:c>
      <x:c r="B87" s="46" t="str">
        <x:f>IF(A87="","",'ÓRDENES-DE-COMPRA'!C87)</x:f>
      </x:c>
      <x:c r="C87" s="46" t="str">
        <x:f>IF(A87="","",'ÓRDENES-DE-COMPRA'!D87)</x:f>
      </x:c>
      <x:c r="D87" s="46" t="str">
        <x:f>IF(A87="","",'ÓRDENES-DE-COMPRA'!E87)</x:f>
      </x:c>
      <x:c r="E87" s="75" t="str">
        <x:f>IF(A87="","",'ÓRDENES-DE-COMPRA'!B87)</x:f>
      </x:c>
      <x:c r="F87" s="75" t="str">
        <x:f>IF(A87="","",'ÓRDENES-DE-COMPRA'!F87)</x:f>
      </x:c>
      <x:c r="G87" s="46" t="str">
        <x:f>IF(A87="","",'ÓRDENES-DE-COMPRA'!H87)</x:f>
      </x:c>
      <x:c r="H87" s="46" t="str">
        <x:f>IF(A87="","",'ÓRDENES-DE-COMPRA'!L87)</x:f>
      </x:c>
      <x:c r="I87" s="59" t="str">
        <x:f>IF(A87="","",'ÓRDENES-DE-COMPRA'!M87)</x:f>
      </x:c>
      <x:c r="J87" s="59" t="str">
        <x:f>IF(A87="","",'ÓRDENES-DE-COMPRA'!N87)</x:f>
      </x:c>
      <x:c r="K87" s="59" t="str">
        <x:f>IF(A87="","",'ÓRDENES-DE-COMPRA'!J87)</x:f>
      </x:c>
      <x:c r="L87" s="59" t="str">
        <x:f>IF(A87="","",'ÓRDENES-DE-COMPRA'!O87)</x:f>
      </x:c>
      <x:c r="M87" s="59" t="str">
        <x:f>IF(A87="","",'ÓRDENES-DE-COMPRA'!P87)</x:f>
      </x:c>
      <x:c r="N87" s="59" t="str">
        <x:f>IF(A87="","",'ÓRDENES-DE-COMPRA'!Q87)</x:f>
      </x:c>
      <x:c r="O87" s="60" t="str">
        <x:f>IF(A87="","",'ÓRDENES-DE-COMPRA'!R87)</x:f>
      </x:c>
      <x:c r="P87" s="46" t="str">
        <x:f>IF(A87="","",'ÓRDENES-DE-COMPRA'!S87)</x:f>
      </x:c>
      <x:c r="Q87" s="76" t="str">
        <x:f>IF(A87="","",IF(OR(N87=0,F87=""),0,MAX('CONFIGURACIÓN'!$B$7-F87,0)))</x:f>
      </x:c>
      <x:c r="R87" s="46" t="str">
        <x:f>IF(A87="","",IF(G87="Cancelada","Sin acción",IF(P87="Vencida","Acción requerida",IF(N87&gt;='CONFIGURACIÓN'!$B$10,"Valor alto",IF(P87="Próxima a vencer","Supervisar","Rutina")))))</x:f>
      </x:c>
    </x:row>
    <x:row r="88">
      <x:c r="A88" s="46" t="str">
        <x:f>IF('ÓRDENES-DE-COMPRA'!A88="","",'ÓRDENES-DE-COMPRA'!A88)</x:f>
      </x:c>
      <x:c r="B88" s="46" t="str">
        <x:f>IF(A88="","",'ÓRDENES-DE-COMPRA'!C88)</x:f>
      </x:c>
      <x:c r="C88" s="46" t="str">
        <x:f>IF(A88="","",'ÓRDENES-DE-COMPRA'!D88)</x:f>
      </x:c>
      <x:c r="D88" s="46" t="str">
        <x:f>IF(A88="","",'ÓRDENES-DE-COMPRA'!E88)</x:f>
      </x:c>
      <x:c r="E88" s="75" t="str">
        <x:f>IF(A88="","",'ÓRDENES-DE-COMPRA'!B88)</x:f>
      </x:c>
      <x:c r="F88" s="75" t="str">
        <x:f>IF(A88="","",'ÓRDENES-DE-COMPRA'!F88)</x:f>
      </x:c>
      <x:c r="G88" s="46" t="str">
        <x:f>IF(A88="","",'ÓRDENES-DE-COMPRA'!H88)</x:f>
      </x:c>
      <x:c r="H88" s="46" t="str">
        <x:f>IF(A88="","",'ÓRDENES-DE-COMPRA'!L88)</x:f>
      </x:c>
      <x:c r="I88" s="59" t="str">
        <x:f>IF(A88="","",'ÓRDENES-DE-COMPRA'!M88)</x:f>
      </x:c>
      <x:c r="J88" s="59" t="str">
        <x:f>IF(A88="","",'ÓRDENES-DE-COMPRA'!N88)</x:f>
      </x:c>
      <x:c r="K88" s="59" t="str">
        <x:f>IF(A88="","",'ÓRDENES-DE-COMPRA'!J88)</x:f>
      </x:c>
      <x:c r="L88" s="59" t="str">
        <x:f>IF(A88="","",'ÓRDENES-DE-COMPRA'!O88)</x:f>
      </x:c>
      <x:c r="M88" s="59" t="str">
        <x:f>IF(A88="","",'ÓRDENES-DE-COMPRA'!P88)</x:f>
      </x:c>
      <x:c r="N88" s="59" t="str">
        <x:f>IF(A88="","",'ÓRDENES-DE-COMPRA'!Q88)</x:f>
      </x:c>
      <x:c r="O88" s="60" t="str">
        <x:f>IF(A88="","",'ÓRDENES-DE-COMPRA'!R88)</x:f>
      </x:c>
      <x:c r="P88" s="46" t="str">
        <x:f>IF(A88="","",'ÓRDENES-DE-COMPRA'!S88)</x:f>
      </x:c>
      <x:c r="Q88" s="76" t="str">
        <x:f>IF(A88="","",IF(OR(N88=0,F88=""),0,MAX('CONFIGURACIÓN'!$B$7-F88,0)))</x:f>
      </x:c>
      <x:c r="R88" s="46" t="str">
        <x:f>IF(A88="","",IF(G88="Cancelada","Sin acción",IF(P88="Vencida","Acción requerida",IF(N88&gt;='CONFIGURACIÓN'!$B$10,"Valor alto",IF(P88="Próxima a vencer","Supervisar","Rutina")))))</x:f>
      </x:c>
    </x:row>
    <x:row r="89">
      <x:c r="A89" s="46" t="str">
        <x:f>IF('ÓRDENES-DE-COMPRA'!A89="","",'ÓRDENES-DE-COMPRA'!A89)</x:f>
      </x:c>
      <x:c r="B89" s="46" t="str">
        <x:f>IF(A89="","",'ÓRDENES-DE-COMPRA'!C89)</x:f>
      </x:c>
      <x:c r="C89" s="46" t="str">
        <x:f>IF(A89="","",'ÓRDENES-DE-COMPRA'!D89)</x:f>
      </x:c>
      <x:c r="D89" s="46" t="str">
        <x:f>IF(A89="","",'ÓRDENES-DE-COMPRA'!E89)</x:f>
      </x:c>
      <x:c r="E89" s="75" t="str">
        <x:f>IF(A89="","",'ÓRDENES-DE-COMPRA'!B89)</x:f>
      </x:c>
      <x:c r="F89" s="75" t="str">
        <x:f>IF(A89="","",'ÓRDENES-DE-COMPRA'!F89)</x:f>
      </x:c>
      <x:c r="G89" s="46" t="str">
        <x:f>IF(A89="","",'ÓRDENES-DE-COMPRA'!H89)</x:f>
      </x:c>
      <x:c r="H89" s="46" t="str">
        <x:f>IF(A89="","",'ÓRDENES-DE-COMPRA'!L89)</x:f>
      </x:c>
      <x:c r="I89" s="59" t="str">
        <x:f>IF(A89="","",'ÓRDENES-DE-COMPRA'!M89)</x:f>
      </x:c>
      <x:c r="J89" s="59" t="str">
        <x:f>IF(A89="","",'ÓRDENES-DE-COMPRA'!N89)</x:f>
      </x:c>
      <x:c r="K89" s="59" t="str">
        <x:f>IF(A89="","",'ÓRDENES-DE-COMPRA'!J89)</x:f>
      </x:c>
      <x:c r="L89" s="59" t="str">
        <x:f>IF(A89="","",'ÓRDENES-DE-COMPRA'!O89)</x:f>
      </x:c>
      <x:c r="M89" s="59" t="str">
        <x:f>IF(A89="","",'ÓRDENES-DE-COMPRA'!P89)</x:f>
      </x:c>
      <x:c r="N89" s="59" t="str">
        <x:f>IF(A89="","",'ÓRDENES-DE-COMPRA'!Q89)</x:f>
      </x:c>
      <x:c r="O89" s="60" t="str">
        <x:f>IF(A89="","",'ÓRDENES-DE-COMPRA'!R89)</x:f>
      </x:c>
      <x:c r="P89" s="46" t="str">
        <x:f>IF(A89="","",'ÓRDENES-DE-COMPRA'!S89)</x:f>
      </x:c>
      <x:c r="Q89" s="76" t="str">
        <x:f>IF(A89="","",IF(OR(N89=0,F89=""),0,MAX('CONFIGURACIÓN'!$B$7-F89,0)))</x:f>
      </x:c>
      <x:c r="R89" s="46" t="str">
        <x:f>IF(A89="","",IF(G89="Cancelada","Sin acción",IF(P89="Vencida","Acción requerida",IF(N89&gt;='CONFIGURACIÓN'!$B$10,"Valor alto",IF(P89="Próxima a vencer","Supervisar","Rutina")))))</x:f>
      </x:c>
    </x:row>
    <x:row r="90">
      <x:c r="A90" s="46" t="str">
        <x:f>IF('ÓRDENES-DE-COMPRA'!A90="","",'ÓRDENES-DE-COMPRA'!A90)</x:f>
      </x:c>
      <x:c r="B90" s="46" t="str">
        <x:f>IF(A90="","",'ÓRDENES-DE-COMPRA'!C90)</x:f>
      </x:c>
      <x:c r="C90" s="46" t="str">
        <x:f>IF(A90="","",'ÓRDENES-DE-COMPRA'!D90)</x:f>
      </x:c>
      <x:c r="D90" s="46" t="str">
        <x:f>IF(A90="","",'ÓRDENES-DE-COMPRA'!E90)</x:f>
      </x:c>
      <x:c r="E90" s="75" t="str">
        <x:f>IF(A90="","",'ÓRDENES-DE-COMPRA'!B90)</x:f>
      </x:c>
      <x:c r="F90" s="75" t="str">
        <x:f>IF(A90="","",'ÓRDENES-DE-COMPRA'!F90)</x:f>
      </x:c>
      <x:c r="G90" s="46" t="str">
        <x:f>IF(A90="","",'ÓRDENES-DE-COMPRA'!H90)</x:f>
      </x:c>
      <x:c r="H90" s="46" t="str">
        <x:f>IF(A90="","",'ÓRDENES-DE-COMPRA'!L90)</x:f>
      </x:c>
      <x:c r="I90" s="59" t="str">
        <x:f>IF(A90="","",'ÓRDENES-DE-COMPRA'!M90)</x:f>
      </x:c>
      <x:c r="J90" s="59" t="str">
        <x:f>IF(A90="","",'ÓRDENES-DE-COMPRA'!N90)</x:f>
      </x:c>
      <x:c r="K90" s="59" t="str">
        <x:f>IF(A90="","",'ÓRDENES-DE-COMPRA'!J90)</x:f>
      </x:c>
      <x:c r="L90" s="59" t="str">
        <x:f>IF(A90="","",'ÓRDENES-DE-COMPRA'!O90)</x:f>
      </x:c>
      <x:c r="M90" s="59" t="str">
        <x:f>IF(A90="","",'ÓRDENES-DE-COMPRA'!P90)</x:f>
      </x:c>
      <x:c r="N90" s="59" t="str">
        <x:f>IF(A90="","",'ÓRDENES-DE-COMPRA'!Q90)</x:f>
      </x:c>
      <x:c r="O90" s="60" t="str">
        <x:f>IF(A90="","",'ÓRDENES-DE-COMPRA'!R90)</x:f>
      </x:c>
      <x:c r="P90" s="46" t="str">
        <x:f>IF(A90="","",'ÓRDENES-DE-COMPRA'!S90)</x:f>
      </x:c>
      <x:c r="Q90" s="76" t="str">
        <x:f>IF(A90="","",IF(OR(N90=0,F90=""),0,MAX('CONFIGURACIÓN'!$B$7-F90,0)))</x:f>
      </x:c>
      <x:c r="R90" s="46" t="str">
        <x:f>IF(A90="","",IF(G90="Cancelada","Sin acción",IF(P90="Vencida","Acción requerida",IF(N90&gt;='CONFIGURACIÓN'!$B$10,"Valor alto",IF(P90="Próxima a vencer","Supervisar","Rutina")))))</x:f>
      </x:c>
    </x:row>
    <x:row r="91">
      <x:c r="A91" s="46" t="str">
        <x:f>IF('ÓRDENES-DE-COMPRA'!A91="","",'ÓRDENES-DE-COMPRA'!A91)</x:f>
      </x:c>
      <x:c r="B91" s="46" t="str">
        <x:f>IF(A91="","",'ÓRDENES-DE-COMPRA'!C91)</x:f>
      </x:c>
      <x:c r="C91" s="46" t="str">
        <x:f>IF(A91="","",'ÓRDENES-DE-COMPRA'!D91)</x:f>
      </x:c>
      <x:c r="D91" s="46" t="str">
        <x:f>IF(A91="","",'ÓRDENES-DE-COMPRA'!E91)</x:f>
      </x:c>
      <x:c r="E91" s="75" t="str">
        <x:f>IF(A91="","",'ÓRDENES-DE-COMPRA'!B91)</x:f>
      </x:c>
      <x:c r="F91" s="75" t="str">
        <x:f>IF(A91="","",'ÓRDENES-DE-COMPRA'!F91)</x:f>
      </x:c>
      <x:c r="G91" s="46" t="str">
        <x:f>IF(A91="","",'ÓRDENES-DE-COMPRA'!H91)</x:f>
      </x:c>
      <x:c r="H91" s="46" t="str">
        <x:f>IF(A91="","",'ÓRDENES-DE-COMPRA'!L91)</x:f>
      </x:c>
      <x:c r="I91" s="59" t="str">
        <x:f>IF(A91="","",'ÓRDENES-DE-COMPRA'!M91)</x:f>
      </x:c>
      <x:c r="J91" s="59" t="str">
        <x:f>IF(A91="","",'ÓRDENES-DE-COMPRA'!N91)</x:f>
      </x:c>
      <x:c r="K91" s="59" t="str">
        <x:f>IF(A91="","",'ÓRDENES-DE-COMPRA'!J91)</x:f>
      </x:c>
      <x:c r="L91" s="59" t="str">
        <x:f>IF(A91="","",'ÓRDENES-DE-COMPRA'!O91)</x:f>
      </x:c>
      <x:c r="M91" s="59" t="str">
        <x:f>IF(A91="","",'ÓRDENES-DE-COMPRA'!P91)</x:f>
      </x:c>
      <x:c r="N91" s="59" t="str">
        <x:f>IF(A91="","",'ÓRDENES-DE-COMPRA'!Q91)</x:f>
      </x:c>
      <x:c r="O91" s="60" t="str">
        <x:f>IF(A91="","",'ÓRDENES-DE-COMPRA'!R91)</x:f>
      </x:c>
      <x:c r="P91" s="46" t="str">
        <x:f>IF(A91="","",'ÓRDENES-DE-COMPRA'!S91)</x:f>
      </x:c>
      <x:c r="Q91" s="76" t="str">
        <x:f>IF(A91="","",IF(OR(N91=0,F91=""),0,MAX('CONFIGURACIÓN'!$B$7-F91,0)))</x:f>
      </x:c>
      <x:c r="R91" s="46" t="str">
        <x:f>IF(A91="","",IF(G91="Cancelada","Sin acción",IF(P91="Vencida","Acción requerida",IF(N91&gt;='CONFIGURACIÓN'!$B$10,"Valor alto",IF(P91="Próxima a vencer","Supervisar","Rutina")))))</x:f>
      </x:c>
    </x:row>
    <x:row r="92">
      <x:c r="A92" s="46" t="str">
        <x:f>IF('ÓRDENES-DE-COMPRA'!A92="","",'ÓRDENES-DE-COMPRA'!A92)</x:f>
      </x:c>
      <x:c r="B92" s="46" t="str">
        <x:f>IF(A92="","",'ÓRDENES-DE-COMPRA'!C92)</x:f>
      </x:c>
      <x:c r="C92" s="46" t="str">
        <x:f>IF(A92="","",'ÓRDENES-DE-COMPRA'!D92)</x:f>
      </x:c>
      <x:c r="D92" s="46" t="str">
        <x:f>IF(A92="","",'ÓRDENES-DE-COMPRA'!E92)</x:f>
      </x:c>
      <x:c r="E92" s="75" t="str">
        <x:f>IF(A92="","",'ÓRDENES-DE-COMPRA'!B92)</x:f>
      </x:c>
      <x:c r="F92" s="75" t="str">
        <x:f>IF(A92="","",'ÓRDENES-DE-COMPRA'!F92)</x:f>
      </x:c>
      <x:c r="G92" s="46" t="str">
        <x:f>IF(A92="","",'ÓRDENES-DE-COMPRA'!H92)</x:f>
      </x:c>
      <x:c r="H92" s="46" t="str">
        <x:f>IF(A92="","",'ÓRDENES-DE-COMPRA'!L92)</x:f>
      </x:c>
      <x:c r="I92" s="59" t="str">
        <x:f>IF(A92="","",'ÓRDENES-DE-COMPRA'!M92)</x:f>
      </x:c>
      <x:c r="J92" s="59" t="str">
        <x:f>IF(A92="","",'ÓRDENES-DE-COMPRA'!N92)</x:f>
      </x:c>
      <x:c r="K92" s="59" t="str">
        <x:f>IF(A92="","",'ÓRDENES-DE-COMPRA'!J92)</x:f>
      </x:c>
      <x:c r="L92" s="59" t="str">
        <x:f>IF(A92="","",'ÓRDENES-DE-COMPRA'!O92)</x:f>
      </x:c>
      <x:c r="M92" s="59" t="str">
        <x:f>IF(A92="","",'ÓRDENES-DE-COMPRA'!P92)</x:f>
      </x:c>
      <x:c r="N92" s="59" t="str">
        <x:f>IF(A92="","",'ÓRDENES-DE-COMPRA'!Q92)</x:f>
      </x:c>
      <x:c r="O92" s="60" t="str">
        <x:f>IF(A92="","",'ÓRDENES-DE-COMPRA'!R92)</x:f>
      </x:c>
      <x:c r="P92" s="46" t="str">
        <x:f>IF(A92="","",'ÓRDENES-DE-COMPRA'!S92)</x:f>
      </x:c>
      <x:c r="Q92" s="76" t="str">
        <x:f>IF(A92="","",IF(OR(N92=0,F92=""),0,MAX('CONFIGURACIÓN'!$B$7-F92,0)))</x:f>
      </x:c>
      <x:c r="R92" s="46" t="str">
        <x:f>IF(A92="","",IF(G92="Cancelada","Sin acción",IF(P92="Vencida","Acción requerida",IF(N92&gt;='CONFIGURACIÓN'!$B$10,"Valor alto",IF(P92="Próxima a vencer","Supervisar","Rutina")))))</x:f>
      </x:c>
    </x:row>
    <x:row r="93">
      <x:c r="A93" s="46" t="str">
        <x:f>IF('ÓRDENES-DE-COMPRA'!A93="","",'ÓRDENES-DE-COMPRA'!A93)</x:f>
      </x:c>
      <x:c r="B93" s="46" t="str">
        <x:f>IF(A93="","",'ÓRDENES-DE-COMPRA'!C93)</x:f>
      </x:c>
      <x:c r="C93" s="46" t="str">
        <x:f>IF(A93="","",'ÓRDENES-DE-COMPRA'!D93)</x:f>
      </x:c>
      <x:c r="D93" s="46" t="str">
        <x:f>IF(A93="","",'ÓRDENES-DE-COMPRA'!E93)</x:f>
      </x:c>
      <x:c r="E93" s="75" t="str">
        <x:f>IF(A93="","",'ÓRDENES-DE-COMPRA'!B93)</x:f>
      </x:c>
      <x:c r="F93" s="75" t="str">
        <x:f>IF(A93="","",'ÓRDENES-DE-COMPRA'!F93)</x:f>
      </x:c>
      <x:c r="G93" s="46" t="str">
        <x:f>IF(A93="","",'ÓRDENES-DE-COMPRA'!H93)</x:f>
      </x:c>
      <x:c r="H93" s="46" t="str">
        <x:f>IF(A93="","",'ÓRDENES-DE-COMPRA'!L93)</x:f>
      </x:c>
      <x:c r="I93" s="59" t="str">
        <x:f>IF(A93="","",'ÓRDENES-DE-COMPRA'!M93)</x:f>
      </x:c>
      <x:c r="J93" s="59" t="str">
        <x:f>IF(A93="","",'ÓRDENES-DE-COMPRA'!N93)</x:f>
      </x:c>
      <x:c r="K93" s="59" t="str">
        <x:f>IF(A93="","",'ÓRDENES-DE-COMPRA'!J93)</x:f>
      </x:c>
      <x:c r="L93" s="59" t="str">
        <x:f>IF(A93="","",'ÓRDENES-DE-COMPRA'!O93)</x:f>
      </x:c>
      <x:c r="M93" s="59" t="str">
        <x:f>IF(A93="","",'ÓRDENES-DE-COMPRA'!P93)</x:f>
      </x:c>
      <x:c r="N93" s="59" t="str">
        <x:f>IF(A93="","",'ÓRDENES-DE-COMPRA'!Q93)</x:f>
      </x:c>
      <x:c r="O93" s="60" t="str">
        <x:f>IF(A93="","",'ÓRDENES-DE-COMPRA'!R93)</x:f>
      </x:c>
      <x:c r="P93" s="46" t="str">
        <x:f>IF(A93="","",'ÓRDENES-DE-COMPRA'!S93)</x:f>
      </x:c>
      <x:c r="Q93" s="76" t="str">
        <x:f>IF(A93="","",IF(OR(N93=0,F93=""),0,MAX('CONFIGURACIÓN'!$B$7-F93,0)))</x:f>
      </x:c>
      <x:c r="R93" s="46" t="str">
        <x:f>IF(A93="","",IF(G93="Cancelada","Sin acción",IF(P93="Vencida","Acción requerida",IF(N93&gt;='CONFIGURACIÓN'!$B$10,"Valor alto",IF(P93="Próxima a vencer","Supervisar","Rutina")))))</x:f>
      </x:c>
    </x:row>
    <x:row r="94">
      <x:c r="A94" s="46" t="str">
        <x:f>IF('ÓRDENES-DE-COMPRA'!A94="","",'ÓRDENES-DE-COMPRA'!A94)</x:f>
      </x:c>
      <x:c r="B94" s="46" t="str">
        <x:f>IF(A94="","",'ÓRDENES-DE-COMPRA'!C94)</x:f>
      </x:c>
      <x:c r="C94" s="46" t="str">
        <x:f>IF(A94="","",'ÓRDENES-DE-COMPRA'!D94)</x:f>
      </x:c>
      <x:c r="D94" s="46" t="str">
        <x:f>IF(A94="","",'ÓRDENES-DE-COMPRA'!E94)</x:f>
      </x:c>
      <x:c r="E94" s="75" t="str">
        <x:f>IF(A94="","",'ÓRDENES-DE-COMPRA'!B94)</x:f>
      </x:c>
      <x:c r="F94" s="75" t="str">
        <x:f>IF(A94="","",'ÓRDENES-DE-COMPRA'!F94)</x:f>
      </x:c>
      <x:c r="G94" s="46" t="str">
        <x:f>IF(A94="","",'ÓRDENES-DE-COMPRA'!H94)</x:f>
      </x:c>
      <x:c r="H94" s="46" t="str">
        <x:f>IF(A94="","",'ÓRDENES-DE-COMPRA'!L94)</x:f>
      </x:c>
      <x:c r="I94" s="59" t="str">
        <x:f>IF(A94="","",'ÓRDENES-DE-COMPRA'!M94)</x:f>
      </x:c>
      <x:c r="J94" s="59" t="str">
        <x:f>IF(A94="","",'ÓRDENES-DE-COMPRA'!N94)</x:f>
      </x:c>
      <x:c r="K94" s="59" t="str">
        <x:f>IF(A94="","",'ÓRDENES-DE-COMPRA'!J94)</x:f>
      </x:c>
      <x:c r="L94" s="59" t="str">
        <x:f>IF(A94="","",'ÓRDENES-DE-COMPRA'!O94)</x:f>
      </x:c>
      <x:c r="M94" s="59" t="str">
        <x:f>IF(A94="","",'ÓRDENES-DE-COMPRA'!P94)</x:f>
      </x:c>
      <x:c r="N94" s="59" t="str">
        <x:f>IF(A94="","",'ÓRDENES-DE-COMPRA'!Q94)</x:f>
      </x:c>
      <x:c r="O94" s="60" t="str">
        <x:f>IF(A94="","",'ÓRDENES-DE-COMPRA'!R94)</x:f>
      </x:c>
      <x:c r="P94" s="46" t="str">
        <x:f>IF(A94="","",'ÓRDENES-DE-COMPRA'!S94)</x:f>
      </x:c>
      <x:c r="Q94" s="76" t="str">
        <x:f>IF(A94="","",IF(OR(N94=0,F94=""),0,MAX('CONFIGURACIÓN'!$B$7-F94,0)))</x:f>
      </x:c>
      <x:c r="R94" s="46" t="str">
        <x:f>IF(A94="","",IF(G94="Cancelada","Sin acción",IF(P94="Vencida","Acción requerida",IF(N94&gt;='CONFIGURACIÓN'!$B$10,"Valor alto",IF(P94="Próxima a vencer","Supervisar","Rutina")))))</x:f>
      </x:c>
    </x:row>
    <x:row r="95">
      <x:c r="A95" s="46" t="str">
        <x:f>IF('ÓRDENES-DE-COMPRA'!A95="","",'ÓRDENES-DE-COMPRA'!A95)</x:f>
      </x:c>
      <x:c r="B95" s="46" t="str">
        <x:f>IF(A95="","",'ÓRDENES-DE-COMPRA'!C95)</x:f>
      </x:c>
      <x:c r="C95" s="46" t="str">
        <x:f>IF(A95="","",'ÓRDENES-DE-COMPRA'!D95)</x:f>
      </x:c>
      <x:c r="D95" s="46" t="str">
        <x:f>IF(A95="","",'ÓRDENES-DE-COMPRA'!E95)</x:f>
      </x:c>
      <x:c r="E95" s="75" t="str">
        <x:f>IF(A95="","",'ÓRDENES-DE-COMPRA'!B95)</x:f>
      </x:c>
      <x:c r="F95" s="75" t="str">
        <x:f>IF(A95="","",'ÓRDENES-DE-COMPRA'!F95)</x:f>
      </x:c>
      <x:c r="G95" s="46" t="str">
        <x:f>IF(A95="","",'ÓRDENES-DE-COMPRA'!H95)</x:f>
      </x:c>
      <x:c r="H95" s="46" t="str">
        <x:f>IF(A95="","",'ÓRDENES-DE-COMPRA'!L95)</x:f>
      </x:c>
      <x:c r="I95" s="59" t="str">
        <x:f>IF(A95="","",'ÓRDENES-DE-COMPRA'!M95)</x:f>
      </x:c>
      <x:c r="J95" s="59" t="str">
        <x:f>IF(A95="","",'ÓRDENES-DE-COMPRA'!N95)</x:f>
      </x:c>
      <x:c r="K95" s="59" t="str">
        <x:f>IF(A95="","",'ÓRDENES-DE-COMPRA'!J95)</x:f>
      </x:c>
      <x:c r="L95" s="59" t="str">
        <x:f>IF(A95="","",'ÓRDENES-DE-COMPRA'!O95)</x:f>
      </x:c>
      <x:c r="M95" s="59" t="str">
        <x:f>IF(A95="","",'ÓRDENES-DE-COMPRA'!P95)</x:f>
      </x:c>
      <x:c r="N95" s="59" t="str">
        <x:f>IF(A95="","",'ÓRDENES-DE-COMPRA'!Q95)</x:f>
      </x:c>
      <x:c r="O95" s="60" t="str">
        <x:f>IF(A95="","",'ÓRDENES-DE-COMPRA'!R95)</x:f>
      </x:c>
      <x:c r="P95" s="46" t="str">
        <x:f>IF(A95="","",'ÓRDENES-DE-COMPRA'!S95)</x:f>
      </x:c>
      <x:c r="Q95" s="76" t="str">
        <x:f>IF(A95="","",IF(OR(N95=0,F95=""),0,MAX('CONFIGURACIÓN'!$B$7-F95,0)))</x:f>
      </x:c>
      <x:c r="R95" s="46" t="str">
        <x:f>IF(A95="","",IF(G95="Cancelada","Sin acción",IF(P95="Vencida","Acción requerida",IF(N95&gt;='CONFIGURACIÓN'!$B$10,"Valor alto",IF(P95="Próxima a vencer","Supervisar","Rutina")))))</x:f>
      </x:c>
    </x:row>
    <x:row r="96">
      <x:c r="A96" s="46" t="str">
        <x:f>IF('ÓRDENES-DE-COMPRA'!A96="","",'ÓRDENES-DE-COMPRA'!A96)</x:f>
      </x:c>
      <x:c r="B96" s="46" t="str">
        <x:f>IF(A96="","",'ÓRDENES-DE-COMPRA'!C96)</x:f>
      </x:c>
      <x:c r="C96" s="46" t="str">
        <x:f>IF(A96="","",'ÓRDENES-DE-COMPRA'!D96)</x:f>
      </x:c>
      <x:c r="D96" s="46" t="str">
        <x:f>IF(A96="","",'ÓRDENES-DE-COMPRA'!E96)</x:f>
      </x:c>
      <x:c r="E96" s="75" t="str">
        <x:f>IF(A96="","",'ÓRDENES-DE-COMPRA'!B96)</x:f>
      </x:c>
      <x:c r="F96" s="75" t="str">
        <x:f>IF(A96="","",'ÓRDENES-DE-COMPRA'!F96)</x:f>
      </x:c>
      <x:c r="G96" s="46" t="str">
        <x:f>IF(A96="","",'ÓRDENES-DE-COMPRA'!H96)</x:f>
      </x:c>
      <x:c r="H96" s="46" t="str">
        <x:f>IF(A96="","",'ÓRDENES-DE-COMPRA'!L96)</x:f>
      </x:c>
      <x:c r="I96" s="59" t="str">
        <x:f>IF(A96="","",'ÓRDENES-DE-COMPRA'!M96)</x:f>
      </x:c>
      <x:c r="J96" s="59" t="str">
        <x:f>IF(A96="","",'ÓRDENES-DE-COMPRA'!N96)</x:f>
      </x:c>
      <x:c r="K96" s="59" t="str">
        <x:f>IF(A96="","",'ÓRDENES-DE-COMPRA'!J96)</x:f>
      </x:c>
      <x:c r="L96" s="59" t="str">
        <x:f>IF(A96="","",'ÓRDENES-DE-COMPRA'!O96)</x:f>
      </x:c>
      <x:c r="M96" s="59" t="str">
        <x:f>IF(A96="","",'ÓRDENES-DE-COMPRA'!P96)</x:f>
      </x:c>
      <x:c r="N96" s="59" t="str">
        <x:f>IF(A96="","",'ÓRDENES-DE-COMPRA'!Q96)</x:f>
      </x:c>
      <x:c r="O96" s="60" t="str">
        <x:f>IF(A96="","",'ÓRDENES-DE-COMPRA'!R96)</x:f>
      </x:c>
      <x:c r="P96" s="46" t="str">
        <x:f>IF(A96="","",'ÓRDENES-DE-COMPRA'!S96)</x:f>
      </x:c>
      <x:c r="Q96" s="76" t="str">
        <x:f>IF(A96="","",IF(OR(N96=0,F96=""),0,MAX('CONFIGURACIÓN'!$B$7-F96,0)))</x:f>
      </x:c>
      <x:c r="R96" s="46" t="str">
        <x:f>IF(A96="","",IF(G96="Cancelada","Sin acción",IF(P96="Vencida","Acción requerida",IF(N96&gt;='CONFIGURACIÓN'!$B$10,"Valor alto",IF(P96="Próxima a vencer","Supervisar","Rutina")))))</x:f>
      </x:c>
    </x:row>
    <x:row r="97">
      <x:c r="A97" s="46" t="str">
        <x:f>IF('ÓRDENES-DE-COMPRA'!A97="","",'ÓRDENES-DE-COMPRA'!A97)</x:f>
      </x:c>
      <x:c r="B97" s="46" t="str">
        <x:f>IF(A97="","",'ÓRDENES-DE-COMPRA'!C97)</x:f>
      </x:c>
      <x:c r="C97" s="46" t="str">
        <x:f>IF(A97="","",'ÓRDENES-DE-COMPRA'!D97)</x:f>
      </x:c>
      <x:c r="D97" s="46" t="str">
        <x:f>IF(A97="","",'ÓRDENES-DE-COMPRA'!E97)</x:f>
      </x:c>
      <x:c r="E97" s="75" t="str">
        <x:f>IF(A97="","",'ÓRDENES-DE-COMPRA'!B97)</x:f>
      </x:c>
      <x:c r="F97" s="75" t="str">
        <x:f>IF(A97="","",'ÓRDENES-DE-COMPRA'!F97)</x:f>
      </x:c>
      <x:c r="G97" s="46" t="str">
        <x:f>IF(A97="","",'ÓRDENES-DE-COMPRA'!H97)</x:f>
      </x:c>
      <x:c r="H97" s="46" t="str">
        <x:f>IF(A97="","",'ÓRDENES-DE-COMPRA'!L97)</x:f>
      </x:c>
      <x:c r="I97" s="59" t="str">
        <x:f>IF(A97="","",'ÓRDENES-DE-COMPRA'!M97)</x:f>
      </x:c>
      <x:c r="J97" s="59" t="str">
        <x:f>IF(A97="","",'ÓRDENES-DE-COMPRA'!N97)</x:f>
      </x:c>
      <x:c r="K97" s="59" t="str">
        <x:f>IF(A97="","",'ÓRDENES-DE-COMPRA'!J97)</x:f>
      </x:c>
      <x:c r="L97" s="59" t="str">
        <x:f>IF(A97="","",'ÓRDENES-DE-COMPRA'!O97)</x:f>
      </x:c>
      <x:c r="M97" s="59" t="str">
        <x:f>IF(A97="","",'ÓRDENES-DE-COMPRA'!P97)</x:f>
      </x:c>
      <x:c r="N97" s="59" t="str">
        <x:f>IF(A97="","",'ÓRDENES-DE-COMPRA'!Q97)</x:f>
      </x:c>
      <x:c r="O97" s="60" t="str">
        <x:f>IF(A97="","",'ÓRDENES-DE-COMPRA'!R97)</x:f>
      </x:c>
      <x:c r="P97" s="46" t="str">
        <x:f>IF(A97="","",'ÓRDENES-DE-COMPRA'!S97)</x:f>
      </x:c>
      <x:c r="Q97" s="76" t="str">
        <x:f>IF(A97="","",IF(OR(N97=0,F97=""),0,MAX('CONFIGURACIÓN'!$B$7-F97,0)))</x:f>
      </x:c>
      <x:c r="R97" s="46" t="str">
        <x:f>IF(A97="","",IF(G97="Cancelada","Sin acción",IF(P97="Vencida","Acción requerida",IF(N97&gt;='CONFIGURACIÓN'!$B$10,"Valor alto",IF(P97="Próxima a vencer","Supervisar","Rutina")))))</x:f>
      </x:c>
    </x:row>
    <x:row r="98">
      <x:c r="A98" s="46" t="str">
        <x:f>IF('ÓRDENES-DE-COMPRA'!A98="","",'ÓRDENES-DE-COMPRA'!A98)</x:f>
      </x:c>
      <x:c r="B98" s="46" t="str">
        <x:f>IF(A98="","",'ÓRDENES-DE-COMPRA'!C98)</x:f>
      </x:c>
      <x:c r="C98" s="46" t="str">
        <x:f>IF(A98="","",'ÓRDENES-DE-COMPRA'!D98)</x:f>
      </x:c>
      <x:c r="D98" s="46" t="str">
        <x:f>IF(A98="","",'ÓRDENES-DE-COMPRA'!E98)</x:f>
      </x:c>
      <x:c r="E98" s="75" t="str">
        <x:f>IF(A98="","",'ÓRDENES-DE-COMPRA'!B98)</x:f>
      </x:c>
      <x:c r="F98" s="75" t="str">
        <x:f>IF(A98="","",'ÓRDENES-DE-COMPRA'!F98)</x:f>
      </x:c>
      <x:c r="G98" s="46" t="str">
        <x:f>IF(A98="","",'ÓRDENES-DE-COMPRA'!H98)</x:f>
      </x:c>
      <x:c r="H98" s="46" t="str">
        <x:f>IF(A98="","",'ÓRDENES-DE-COMPRA'!L98)</x:f>
      </x:c>
      <x:c r="I98" s="59" t="str">
        <x:f>IF(A98="","",'ÓRDENES-DE-COMPRA'!M98)</x:f>
      </x:c>
      <x:c r="J98" s="59" t="str">
        <x:f>IF(A98="","",'ÓRDENES-DE-COMPRA'!N98)</x:f>
      </x:c>
      <x:c r="K98" s="59" t="str">
        <x:f>IF(A98="","",'ÓRDENES-DE-COMPRA'!J98)</x:f>
      </x:c>
      <x:c r="L98" s="59" t="str">
        <x:f>IF(A98="","",'ÓRDENES-DE-COMPRA'!O98)</x:f>
      </x:c>
      <x:c r="M98" s="59" t="str">
        <x:f>IF(A98="","",'ÓRDENES-DE-COMPRA'!P98)</x:f>
      </x:c>
      <x:c r="N98" s="59" t="str">
        <x:f>IF(A98="","",'ÓRDENES-DE-COMPRA'!Q98)</x:f>
      </x:c>
      <x:c r="O98" s="60" t="str">
        <x:f>IF(A98="","",'ÓRDENES-DE-COMPRA'!R98)</x:f>
      </x:c>
      <x:c r="P98" s="46" t="str">
        <x:f>IF(A98="","",'ÓRDENES-DE-COMPRA'!S98)</x:f>
      </x:c>
      <x:c r="Q98" s="76" t="str">
        <x:f>IF(A98="","",IF(OR(N98=0,F98=""),0,MAX('CONFIGURACIÓN'!$B$7-F98,0)))</x:f>
      </x:c>
      <x:c r="R98" s="46" t="str">
        <x:f>IF(A98="","",IF(G98="Cancelada","Sin acción",IF(P98="Vencida","Acción requerida",IF(N98&gt;='CONFIGURACIÓN'!$B$10,"Valor alto",IF(P98="Próxima a vencer","Supervisar","Rutina")))))</x:f>
      </x:c>
    </x:row>
    <x:row r="99">
      <x:c r="A99" s="46" t="str">
        <x:f>IF('ÓRDENES-DE-COMPRA'!A99="","",'ÓRDENES-DE-COMPRA'!A99)</x:f>
      </x:c>
      <x:c r="B99" s="46" t="str">
        <x:f>IF(A99="","",'ÓRDENES-DE-COMPRA'!C99)</x:f>
      </x:c>
      <x:c r="C99" s="46" t="str">
        <x:f>IF(A99="","",'ÓRDENES-DE-COMPRA'!D99)</x:f>
      </x:c>
      <x:c r="D99" s="46" t="str">
        <x:f>IF(A99="","",'ÓRDENES-DE-COMPRA'!E99)</x:f>
      </x:c>
      <x:c r="E99" s="75" t="str">
        <x:f>IF(A99="","",'ÓRDENES-DE-COMPRA'!B99)</x:f>
      </x:c>
      <x:c r="F99" s="75" t="str">
        <x:f>IF(A99="","",'ÓRDENES-DE-COMPRA'!F99)</x:f>
      </x:c>
      <x:c r="G99" s="46" t="str">
        <x:f>IF(A99="","",'ÓRDENES-DE-COMPRA'!H99)</x:f>
      </x:c>
      <x:c r="H99" s="46" t="str">
        <x:f>IF(A99="","",'ÓRDENES-DE-COMPRA'!L99)</x:f>
      </x:c>
      <x:c r="I99" s="59" t="str">
        <x:f>IF(A99="","",'ÓRDENES-DE-COMPRA'!M99)</x:f>
      </x:c>
      <x:c r="J99" s="59" t="str">
        <x:f>IF(A99="","",'ÓRDENES-DE-COMPRA'!N99)</x:f>
      </x:c>
      <x:c r="K99" s="59" t="str">
        <x:f>IF(A99="","",'ÓRDENES-DE-COMPRA'!J99)</x:f>
      </x:c>
      <x:c r="L99" s="59" t="str">
        <x:f>IF(A99="","",'ÓRDENES-DE-COMPRA'!O99)</x:f>
      </x:c>
      <x:c r="M99" s="59" t="str">
        <x:f>IF(A99="","",'ÓRDENES-DE-COMPRA'!P99)</x:f>
      </x:c>
      <x:c r="N99" s="59" t="str">
        <x:f>IF(A99="","",'ÓRDENES-DE-COMPRA'!Q99)</x:f>
      </x:c>
      <x:c r="O99" s="60" t="str">
        <x:f>IF(A99="","",'ÓRDENES-DE-COMPRA'!R99)</x:f>
      </x:c>
      <x:c r="P99" s="46" t="str">
        <x:f>IF(A99="","",'ÓRDENES-DE-COMPRA'!S99)</x:f>
      </x:c>
      <x:c r="Q99" s="76" t="str">
        <x:f>IF(A99="","",IF(OR(N99=0,F99=""),0,MAX('CONFIGURACIÓN'!$B$7-F99,0)))</x:f>
      </x:c>
      <x:c r="R99" s="46" t="str">
        <x:f>IF(A99="","",IF(G99="Cancelada","Sin acción",IF(P99="Vencida","Acción requerida",IF(N99&gt;='CONFIGURACIÓN'!$B$10,"Valor alto",IF(P99="Próxima a vencer","Supervisar","Rutina")))))</x:f>
      </x:c>
    </x:row>
    <x:row r="100">
      <x:c r="A100" s="46" t="str">
        <x:f>IF('ÓRDENES-DE-COMPRA'!A100="","",'ÓRDENES-DE-COMPRA'!A100)</x:f>
      </x:c>
      <x:c r="B100" s="46" t="str">
        <x:f>IF(A100="","",'ÓRDENES-DE-COMPRA'!C100)</x:f>
      </x:c>
      <x:c r="C100" s="46" t="str">
        <x:f>IF(A100="","",'ÓRDENES-DE-COMPRA'!D100)</x:f>
      </x:c>
      <x:c r="D100" s="46" t="str">
        <x:f>IF(A100="","",'ÓRDENES-DE-COMPRA'!E100)</x:f>
      </x:c>
      <x:c r="E100" s="75" t="str">
        <x:f>IF(A100="","",'ÓRDENES-DE-COMPRA'!B100)</x:f>
      </x:c>
      <x:c r="F100" s="75" t="str">
        <x:f>IF(A100="","",'ÓRDENES-DE-COMPRA'!F100)</x:f>
      </x:c>
      <x:c r="G100" s="46" t="str">
        <x:f>IF(A100="","",'ÓRDENES-DE-COMPRA'!H100)</x:f>
      </x:c>
      <x:c r="H100" s="46" t="str">
        <x:f>IF(A100="","",'ÓRDENES-DE-COMPRA'!L100)</x:f>
      </x:c>
      <x:c r="I100" s="59" t="str">
        <x:f>IF(A100="","",'ÓRDENES-DE-COMPRA'!M100)</x:f>
      </x:c>
      <x:c r="J100" s="59" t="str">
        <x:f>IF(A100="","",'ÓRDENES-DE-COMPRA'!N100)</x:f>
      </x:c>
      <x:c r="K100" s="59" t="str">
        <x:f>IF(A100="","",'ÓRDENES-DE-COMPRA'!J100)</x:f>
      </x:c>
      <x:c r="L100" s="59" t="str">
        <x:f>IF(A100="","",'ÓRDENES-DE-COMPRA'!O100)</x:f>
      </x:c>
      <x:c r="M100" s="59" t="str">
        <x:f>IF(A100="","",'ÓRDENES-DE-COMPRA'!P100)</x:f>
      </x:c>
      <x:c r="N100" s="59" t="str">
        <x:f>IF(A100="","",'ÓRDENES-DE-COMPRA'!Q100)</x:f>
      </x:c>
      <x:c r="O100" s="60" t="str">
        <x:f>IF(A100="","",'ÓRDENES-DE-COMPRA'!R100)</x:f>
      </x:c>
      <x:c r="P100" s="46" t="str">
        <x:f>IF(A100="","",'ÓRDENES-DE-COMPRA'!S100)</x:f>
      </x:c>
      <x:c r="Q100" s="76" t="str">
        <x:f>IF(A100="","",IF(OR(N100=0,F100=""),0,MAX('CONFIGURACIÓN'!$B$7-F100,0)))</x:f>
      </x:c>
      <x:c r="R100" s="46" t="str">
        <x:f>IF(A100="","",IF(G100="Cancelada","Sin acción",IF(P100="Vencida","Acción requerida",IF(N100&gt;='CONFIGURACIÓN'!$B$10,"Valor alto",IF(P100="Próxima a vencer","Supervisar","Rutina")))))</x:f>
      </x:c>
    </x:row>
    <x:row r="101">
      <x:c r="A101" s="46" t="str">
        <x:f>IF('ÓRDENES-DE-COMPRA'!A101="","",'ÓRDENES-DE-COMPRA'!A101)</x:f>
      </x:c>
      <x:c r="B101" s="46" t="str">
        <x:f>IF(A101="","",'ÓRDENES-DE-COMPRA'!C101)</x:f>
      </x:c>
      <x:c r="C101" s="46" t="str">
        <x:f>IF(A101="","",'ÓRDENES-DE-COMPRA'!D101)</x:f>
      </x:c>
      <x:c r="D101" s="46" t="str">
        <x:f>IF(A101="","",'ÓRDENES-DE-COMPRA'!E101)</x:f>
      </x:c>
      <x:c r="E101" s="75" t="str">
        <x:f>IF(A101="","",'ÓRDENES-DE-COMPRA'!B101)</x:f>
      </x:c>
      <x:c r="F101" s="75" t="str">
        <x:f>IF(A101="","",'ÓRDENES-DE-COMPRA'!F101)</x:f>
      </x:c>
      <x:c r="G101" s="46" t="str">
        <x:f>IF(A101="","",'ÓRDENES-DE-COMPRA'!H101)</x:f>
      </x:c>
      <x:c r="H101" s="46" t="str">
        <x:f>IF(A101="","",'ÓRDENES-DE-COMPRA'!L101)</x:f>
      </x:c>
      <x:c r="I101" s="59" t="str">
        <x:f>IF(A101="","",'ÓRDENES-DE-COMPRA'!M101)</x:f>
      </x:c>
      <x:c r="J101" s="59" t="str">
        <x:f>IF(A101="","",'ÓRDENES-DE-COMPRA'!N101)</x:f>
      </x:c>
      <x:c r="K101" s="59" t="str">
        <x:f>IF(A101="","",'ÓRDENES-DE-COMPRA'!J101)</x:f>
      </x:c>
      <x:c r="L101" s="59" t="str">
        <x:f>IF(A101="","",'ÓRDENES-DE-COMPRA'!O101)</x:f>
      </x:c>
      <x:c r="M101" s="59" t="str">
        <x:f>IF(A101="","",'ÓRDENES-DE-COMPRA'!P101)</x:f>
      </x:c>
      <x:c r="N101" s="59" t="str">
        <x:f>IF(A101="","",'ÓRDENES-DE-COMPRA'!Q101)</x:f>
      </x:c>
      <x:c r="O101" s="60" t="str">
        <x:f>IF(A101="","",'ÓRDENES-DE-COMPRA'!R101)</x:f>
      </x:c>
      <x:c r="P101" s="46" t="str">
        <x:f>IF(A101="","",'ÓRDENES-DE-COMPRA'!S101)</x:f>
      </x:c>
      <x:c r="Q101" s="76" t="str">
        <x:f>IF(A101="","",IF(OR(N101=0,F101=""),0,MAX('CONFIGURACIÓN'!$B$7-F101,0)))</x:f>
      </x:c>
      <x:c r="R101" s="46" t="str">
        <x:f>IF(A101="","",IF(G101="Cancelada","Sin acción",IF(P101="Vencida","Acción requerida",IF(N101&gt;='CONFIGURACIÓN'!$B$10,"Valor alto",IF(P101="Próxima a vencer","Supervisar","Rutina")))))</x:f>
      </x:c>
    </x:row>
    <x:row r="102">
      <x:c r="A102" s="46" t="str">
        <x:f>IF('ÓRDENES-DE-COMPRA'!A102="","",'ÓRDENES-DE-COMPRA'!A102)</x:f>
      </x:c>
      <x:c r="B102" s="46" t="str">
        <x:f>IF(A102="","",'ÓRDENES-DE-COMPRA'!C102)</x:f>
      </x:c>
      <x:c r="C102" s="46" t="str">
        <x:f>IF(A102="","",'ÓRDENES-DE-COMPRA'!D102)</x:f>
      </x:c>
      <x:c r="D102" s="46" t="str">
        <x:f>IF(A102="","",'ÓRDENES-DE-COMPRA'!E102)</x:f>
      </x:c>
      <x:c r="E102" s="75" t="str">
        <x:f>IF(A102="","",'ÓRDENES-DE-COMPRA'!B102)</x:f>
      </x:c>
      <x:c r="F102" s="75" t="str">
        <x:f>IF(A102="","",'ÓRDENES-DE-COMPRA'!F102)</x:f>
      </x:c>
      <x:c r="G102" s="46" t="str">
        <x:f>IF(A102="","",'ÓRDENES-DE-COMPRA'!H102)</x:f>
      </x:c>
      <x:c r="H102" s="46" t="str">
        <x:f>IF(A102="","",'ÓRDENES-DE-COMPRA'!L102)</x:f>
      </x:c>
      <x:c r="I102" s="59" t="str">
        <x:f>IF(A102="","",'ÓRDENES-DE-COMPRA'!M102)</x:f>
      </x:c>
      <x:c r="J102" s="59" t="str">
        <x:f>IF(A102="","",'ÓRDENES-DE-COMPRA'!N102)</x:f>
      </x:c>
      <x:c r="K102" s="59" t="str">
        <x:f>IF(A102="","",'ÓRDENES-DE-COMPRA'!J102)</x:f>
      </x:c>
      <x:c r="L102" s="59" t="str">
        <x:f>IF(A102="","",'ÓRDENES-DE-COMPRA'!O102)</x:f>
      </x:c>
      <x:c r="M102" s="59" t="str">
        <x:f>IF(A102="","",'ÓRDENES-DE-COMPRA'!P102)</x:f>
      </x:c>
      <x:c r="N102" s="59" t="str">
        <x:f>IF(A102="","",'ÓRDENES-DE-COMPRA'!Q102)</x:f>
      </x:c>
      <x:c r="O102" s="60" t="str">
        <x:f>IF(A102="","",'ÓRDENES-DE-COMPRA'!R102)</x:f>
      </x:c>
      <x:c r="P102" s="46" t="str">
        <x:f>IF(A102="","",'ÓRDENES-DE-COMPRA'!S102)</x:f>
      </x:c>
      <x:c r="Q102" s="76" t="str">
        <x:f>IF(A102="","",IF(OR(N102=0,F102=""),0,MAX('CONFIGURACIÓN'!$B$7-F102,0)))</x:f>
      </x:c>
      <x:c r="R102" s="46" t="str">
        <x:f>IF(A102="","",IF(G102="Cancelada","Sin acción",IF(P102="Vencida","Acción requerida",IF(N102&gt;='CONFIGURACIÓN'!$B$10,"Valor alto",IF(P102="Próxima a vencer","Supervisar","Rutina")))))</x:f>
      </x:c>
    </x:row>
    <x:row r="103">
      <x:c r="A103" s="46" t="str">
        <x:f>IF('ÓRDENES-DE-COMPRA'!A103="","",'ÓRDENES-DE-COMPRA'!A103)</x:f>
      </x:c>
      <x:c r="B103" s="46" t="str">
        <x:f>IF(A103="","",'ÓRDENES-DE-COMPRA'!C103)</x:f>
      </x:c>
      <x:c r="C103" s="46" t="str">
        <x:f>IF(A103="","",'ÓRDENES-DE-COMPRA'!D103)</x:f>
      </x:c>
      <x:c r="D103" s="46" t="str">
        <x:f>IF(A103="","",'ÓRDENES-DE-COMPRA'!E103)</x:f>
      </x:c>
      <x:c r="E103" s="75" t="str">
        <x:f>IF(A103="","",'ÓRDENES-DE-COMPRA'!B103)</x:f>
      </x:c>
      <x:c r="F103" s="75" t="str">
        <x:f>IF(A103="","",'ÓRDENES-DE-COMPRA'!F103)</x:f>
      </x:c>
      <x:c r="G103" s="46" t="str">
        <x:f>IF(A103="","",'ÓRDENES-DE-COMPRA'!H103)</x:f>
      </x:c>
      <x:c r="H103" s="46" t="str">
        <x:f>IF(A103="","",'ÓRDENES-DE-COMPRA'!L103)</x:f>
      </x:c>
      <x:c r="I103" s="59" t="str">
        <x:f>IF(A103="","",'ÓRDENES-DE-COMPRA'!M103)</x:f>
      </x:c>
      <x:c r="J103" s="59" t="str">
        <x:f>IF(A103="","",'ÓRDENES-DE-COMPRA'!N103)</x:f>
      </x:c>
      <x:c r="K103" s="59" t="str">
        <x:f>IF(A103="","",'ÓRDENES-DE-COMPRA'!J103)</x:f>
      </x:c>
      <x:c r="L103" s="59" t="str">
        <x:f>IF(A103="","",'ÓRDENES-DE-COMPRA'!O103)</x:f>
      </x:c>
      <x:c r="M103" s="59" t="str">
        <x:f>IF(A103="","",'ÓRDENES-DE-COMPRA'!P103)</x:f>
      </x:c>
      <x:c r="N103" s="59" t="str">
        <x:f>IF(A103="","",'ÓRDENES-DE-COMPRA'!Q103)</x:f>
      </x:c>
      <x:c r="O103" s="60" t="str">
        <x:f>IF(A103="","",'ÓRDENES-DE-COMPRA'!R103)</x:f>
      </x:c>
      <x:c r="P103" s="46" t="str">
        <x:f>IF(A103="","",'ÓRDENES-DE-COMPRA'!S103)</x:f>
      </x:c>
      <x:c r="Q103" s="76" t="str">
        <x:f>IF(A103="","",IF(OR(N103=0,F103=""),0,MAX('CONFIGURACIÓN'!$B$7-F103,0)))</x:f>
      </x:c>
      <x:c r="R103" s="46" t="str">
        <x:f>IF(A103="","",IF(G103="Cancelada","Sin acción",IF(P103="Vencida","Acción requerida",IF(N103&gt;='CONFIGURACIÓN'!$B$10,"Valor alto",IF(P103="Próxima a vencer","Supervisar","Rutina")))))</x:f>
      </x:c>
    </x:row>
    <x:row r="104">
      <x:c r="A104" s="46" t="str">
        <x:f>IF('ÓRDENES-DE-COMPRA'!A104="","",'ÓRDENES-DE-COMPRA'!A104)</x:f>
      </x:c>
      <x:c r="B104" s="46" t="str">
        <x:f>IF(A104="","",'ÓRDENES-DE-COMPRA'!C104)</x:f>
      </x:c>
      <x:c r="C104" s="46" t="str">
        <x:f>IF(A104="","",'ÓRDENES-DE-COMPRA'!D104)</x:f>
      </x:c>
      <x:c r="D104" s="46" t="str">
        <x:f>IF(A104="","",'ÓRDENES-DE-COMPRA'!E104)</x:f>
      </x:c>
      <x:c r="E104" s="75" t="str">
        <x:f>IF(A104="","",'ÓRDENES-DE-COMPRA'!B104)</x:f>
      </x:c>
      <x:c r="F104" s="75" t="str">
        <x:f>IF(A104="","",'ÓRDENES-DE-COMPRA'!F104)</x:f>
      </x:c>
      <x:c r="G104" s="46" t="str">
        <x:f>IF(A104="","",'ÓRDENES-DE-COMPRA'!H104)</x:f>
      </x:c>
      <x:c r="H104" s="46" t="str">
        <x:f>IF(A104="","",'ÓRDENES-DE-COMPRA'!L104)</x:f>
      </x:c>
      <x:c r="I104" s="59" t="str">
        <x:f>IF(A104="","",'ÓRDENES-DE-COMPRA'!M104)</x:f>
      </x:c>
      <x:c r="J104" s="59" t="str">
        <x:f>IF(A104="","",'ÓRDENES-DE-COMPRA'!N104)</x:f>
      </x:c>
      <x:c r="K104" s="59" t="str">
        <x:f>IF(A104="","",'ÓRDENES-DE-COMPRA'!J104)</x:f>
      </x:c>
      <x:c r="L104" s="59" t="str">
        <x:f>IF(A104="","",'ÓRDENES-DE-COMPRA'!O104)</x:f>
      </x:c>
      <x:c r="M104" s="59" t="str">
        <x:f>IF(A104="","",'ÓRDENES-DE-COMPRA'!P104)</x:f>
      </x:c>
      <x:c r="N104" s="59" t="str">
        <x:f>IF(A104="","",'ÓRDENES-DE-COMPRA'!Q104)</x:f>
      </x:c>
      <x:c r="O104" s="60" t="str">
        <x:f>IF(A104="","",'ÓRDENES-DE-COMPRA'!R104)</x:f>
      </x:c>
      <x:c r="P104" s="46" t="str">
        <x:f>IF(A104="","",'ÓRDENES-DE-COMPRA'!S104)</x:f>
      </x:c>
      <x:c r="Q104" s="76" t="str">
        <x:f>IF(A104="","",IF(OR(N104=0,F104=""),0,MAX('CONFIGURACIÓN'!$B$7-F104,0)))</x:f>
      </x:c>
      <x:c r="R104" s="46" t="str">
        <x:f>IF(A104="","",IF(G104="Cancelada","Sin acción",IF(P104="Vencida","Acción requerida",IF(N104&gt;='CONFIGURACIÓN'!$B$10,"Valor alto",IF(P104="Próxima a vencer","Supervisar","Rutina")))))</x:f>
      </x:c>
    </x:row>
    <x:row r="105">
      <x:c r="A105" s="46" t="str">
        <x:f>IF('ÓRDENES-DE-COMPRA'!A105="","",'ÓRDENES-DE-COMPRA'!A105)</x:f>
      </x:c>
      <x:c r="B105" s="46" t="str">
        <x:f>IF(A105="","",'ÓRDENES-DE-COMPRA'!C105)</x:f>
      </x:c>
      <x:c r="C105" s="46" t="str">
        <x:f>IF(A105="","",'ÓRDENES-DE-COMPRA'!D105)</x:f>
      </x:c>
      <x:c r="D105" s="46" t="str">
        <x:f>IF(A105="","",'ÓRDENES-DE-COMPRA'!E105)</x:f>
      </x:c>
      <x:c r="E105" s="75" t="str">
        <x:f>IF(A105="","",'ÓRDENES-DE-COMPRA'!B105)</x:f>
      </x:c>
      <x:c r="F105" s="75" t="str">
        <x:f>IF(A105="","",'ÓRDENES-DE-COMPRA'!F105)</x:f>
      </x:c>
      <x:c r="G105" s="46" t="str">
        <x:f>IF(A105="","",'ÓRDENES-DE-COMPRA'!H105)</x:f>
      </x:c>
      <x:c r="H105" s="46" t="str">
        <x:f>IF(A105="","",'ÓRDENES-DE-COMPRA'!L105)</x:f>
      </x:c>
      <x:c r="I105" s="59" t="str">
        <x:f>IF(A105="","",'ÓRDENES-DE-COMPRA'!M105)</x:f>
      </x:c>
      <x:c r="J105" s="59" t="str">
        <x:f>IF(A105="","",'ÓRDENES-DE-COMPRA'!N105)</x:f>
      </x:c>
      <x:c r="K105" s="59" t="str">
        <x:f>IF(A105="","",'ÓRDENES-DE-COMPRA'!J105)</x:f>
      </x:c>
      <x:c r="L105" s="59" t="str">
        <x:f>IF(A105="","",'ÓRDENES-DE-COMPRA'!O105)</x:f>
      </x:c>
      <x:c r="M105" s="59" t="str">
        <x:f>IF(A105="","",'ÓRDENES-DE-COMPRA'!P105)</x:f>
      </x:c>
      <x:c r="N105" s="59" t="str">
        <x:f>IF(A105="","",'ÓRDENES-DE-COMPRA'!Q105)</x:f>
      </x:c>
      <x:c r="O105" s="60" t="str">
        <x:f>IF(A105="","",'ÓRDENES-DE-COMPRA'!R105)</x:f>
      </x:c>
      <x:c r="P105" s="46" t="str">
        <x:f>IF(A105="","",'ÓRDENES-DE-COMPRA'!S105)</x:f>
      </x:c>
      <x:c r="Q105" s="76" t="str">
        <x:f>IF(A105="","",IF(OR(N105=0,F105=""),0,MAX('CONFIGURACIÓN'!$B$7-F105,0)))</x:f>
      </x:c>
      <x:c r="R105" s="46" t="str">
        <x:f>IF(A105="","",IF(G105="Cancelada","Sin acción",IF(P105="Vencida","Acción requerida",IF(N105&gt;='CONFIGURACIÓN'!$B$10,"Valor alto",IF(P105="Próxima a vencer","Supervisar","Rutina")))))</x:f>
      </x:c>
    </x:row>
    <x:row r="106">
      <x:c r="A106" s="46" t="str">
        <x:f>IF('ÓRDENES-DE-COMPRA'!A106="","",'ÓRDENES-DE-COMPRA'!A106)</x:f>
      </x:c>
      <x:c r="B106" s="46" t="str">
        <x:f>IF(A106="","",'ÓRDENES-DE-COMPRA'!C106)</x:f>
      </x:c>
      <x:c r="C106" s="46" t="str">
        <x:f>IF(A106="","",'ÓRDENES-DE-COMPRA'!D106)</x:f>
      </x:c>
      <x:c r="D106" s="46" t="str">
        <x:f>IF(A106="","",'ÓRDENES-DE-COMPRA'!E106)</x:f>
      </x:c>
      <x:c r="E106" s="75" t="str">
        <x:f>IF(A106="","",'ÓRDENES-DE-COMPRA'!B106)</x:f>
      </x:c>
      <x:c r="F106" s="75" t="str">
        <x:f>IF(A106="","",'ÓRDENES-DE-COMPRA'!F106)</x:f>
      </x:c>
      <x:c r="G106" s="46" t="str">
        <x:f>IF(A106="","",'ÓRDENES-DE-COMPRA'!H106)</x:f>
      </x:c>
      <x:c r="H106" s="46" t="str">
        <x:f>IF(A106="","",'ÓRDENES-DE-COMPRA'!L106)</x:f>
      </x:c>
      <x:c r="I106" s="59" t="str">
        <x:f>IF(A106="","",'ÓRDENES-DE-COMPRA'!M106)</x:f>
      </x:c>
      <x:c r="J106" s="59" t="str">
        <x:f>IF(A106="","",'ÓRDENES-DE-COMPRA'!N106)</x:f>
      </x:c>
      <x:c r="K106" s="59" t="str">
        <x:f>IF(A106="","",'ÓRDENES-DE-COMPRA'!J106)</x:f>
      </x:c>
      <x:c r="L106" s="59" t="str">
        <x:f>IF(A106="","",'ÓRDENES-DE-COMPRA'!O106)</x:f>
      </x:c>
      <x:c r="M106" s="59" t="str">
        <x:f>IF(A106="","",'ÓRDENES-DE-COMPRA'!P106)</x:f>
      </x:c>
      <x:c r="N106" s="59" t="str">
        <x:f>IF(A106="","",'ÓRDENES-DE-COMPRA'!Q106)</x:f>
      </x:c>
      <x:c r="O106" s="60" t="str">
        <x:f>IF(A106="","",'ÓRDENES-DE-COMPRA'!R106)</x:f>
      </x:c>
      <x:c r="P106" s="46" t="str">
        <x:f>IF(A106="","",'ÓRDENES-DE-COMPRA'!S106)</x:f>
      </x:c>
      <x:c r="Q106" s="76" t="str">
        <x:f>IF(A106="","",IF(OR(N106=0,F106=""),0,MAX('CONFIGURACIÓN'!$B$7-F106,0)))</x:f>
      </x:c>
      <x:c r="R106" s="46" t="str">
        <x:f>IF(A106="","",IF(G106="Cancelada","Sin acción",IF(P106="Vencida","Acción requerida",IF(N106&gt;='CONFIGURACIÓN'!$B$10,"Valor alto",IF(P106="Próxima a vencer","Supervisar","Rutina")))))</x:f>
      </x:c>
    </x:row>
    <x:row r="107">
      <x:c r="A107" s="46" t="str">
        <x:f>IF('ÓRDENES-DE-COMPRA'!A107="","",'ÓRDENES-DE-COMPRA'!A107)</x:f>
      </x:c>
      <x:c r="B107" s="46" t="str">
        <x:f>IF(A107="","",'ÓRDENES-DE-COMPRA'!C107)</x:f>
      </x:c>
      <x:c r="C107" s="46" t="str">
        <x:f>IF(A107="","",'ÓRDENES-DE-COMPRA'!D107)</x:f>
      </x:c>
      <x:c r="D107" s="46" t="str">
        <x:f>IF(A107="","",'ÓRDENES-DE-COMPRA'!E107)</x:f>
      </x:c>
      <x:c r="E107" s="75" t="str">
        <x:f>IF(A107="","",'ÓRDENES-DE-COMPRA'!B107)</x:f>
      </x:c>
      <x:c r="F107" s="75" t="str">
        <x:f>IF(A107="","",'ÓRDENES-DE-COMPRA'!F107)</x:f>
      </x:c>
      <x:c r="G107" s="46" t="str">
        <x:f>IF(A107="","",'ÓRDENES-DE-COMPRA'!H107)</x:f>
      </x:c>
      <x:c r="H107" s="46" t="str">
        <x:f>IF(A107="","",'ÓRDENES-DE-COMPRA'!L107)</x:f>
      </x:c>
      <x:c r="I107" s="59" t="str">
        <x:f>IF(A107="","",'ÓRDENES-DE-COMPRA'!M107)</x:f>
      </x:c>
      <x:c r="J107" s="59" t="str">
        <x:f>IF(A107="","",'ÓRDENES-DE-COMPRA'!N107)</x:f>
      </x:c>
      <x:c r="K107" s="59" t="str">
        <x:f>IF(A107="","",'ÓRDENES-DE-COMPRA'!J107)</x:f>
      </x:c>
      <x:c r="L107" s="59" t="str">
        <x:f>IF(A107="","",'ÓRDENES-DE-COMPRA'!O107)</x:f>
      </x:c>
      <x:c r="M107" s="59" t="str">
        <x:f>IF(A107="","",'ÓRDENES-DE-COMPRA'!P107)</x:f>
      </x:c>
      <x:c r="N107" s="59" t="str">
        <x:f>IF(A107="","",'ÓRDENES-DE-COMPRA'!Q107)</x:f>
      </x:c>
      <x:c r="O107" s="60" t="str">
        <x:f>IF(A107="","",'ÓRDENES-DE-COMPRA'!R107)</x:f>
      </x:c>
      <x:c r="P107" s="46" t="str">
        <x:f>IF(A107="","",'ÓRDENES-DE-COMPRA'!S107)</x:f>
      </x:c>
      <x:c r="Q107" s="76" t="str">
        <x:f>IF(A107="","",IF(OR(N107=0,F107=""),0,MAX('CONFIGURACIÓN'!$B$7-F107,0)))</x:f>
      </x:c>
      <x:c r="R107" s="46" t="str">
        <x:f>IF(A107="","",IF(G107="Cancelada","Sin acción",IF(P107="Vencida","Acción requerida",IF(N107&gt;='CONFIGURACIÓN'!$B$10,"Valor alto",IF(P107="Próxima a vencer","Supervisar","Rutina")))))</x:f>
      </x:c>
    </x:row>
    <x:row r="108">
      <x:c r="A108" s="46" t="str">
        <x:f>IF('ÓRDENES-DE-COMPRA'!A108="","",'ÓRDENES-DE-COMPRA'!A108)</x:f>
      </x:c>
      <x:c r="B108" s="46" t="str">
        <x:f>IF(A108="","",'ÓRDENES-DE-COMPRA'!C108)</x:f>
      </x:c>
      <x:c r="C108" s="46" t="str">
        <x:f>IF(A108="","",'ÓRDENES-DE-COMPRA'!D108)</x:f>
      </x:c>
      <x:c r="D108" s="46" t="str">
        <x:f>IF(A108="","",'ÓRDENES-DE-COMPRA'!E108)</x:f>
      </x:c>
      <x:c r="E108" s="75" t="str">
        <x:f>IF(A108="","",'ÓRDENES-DE-COMPRA'!B108)</x:f>
      </x:c>
      <x:c r="F108" s="75" t="str">
        <x:f>IF(A108="","",'ÓRDENES-DE-COMPRA'!F108)</x:f>
      </x:c>
      <x:c r="G108" s="46" t="str">
        <x:f>IF(A108="","",'ÓRDENES-DE-COMPRA'!H108)</x:f>
      </x:c>
      <x:c r="H108" s="46" t="str">
        <x:f>IF(A108="","",'ÓRDENES-DE-COMPRA'!L108)</x:f>
      </x:c>
      <x:c r="I108" s="59" t="str">
        <x:f>IF(A108="","",'ÓRDENES-DE-COMPRA'!M108)</x:f>
      </x:c>
      <x:c r="J108" s="59" t="str">
        <x:f>IF(A108="","",'ÓRDENES-DE-COMPRA'!N108)</x:f>
      </x:c>
      <x:c r="K108" s="59" t="str">
        <x:f>IF(A108="","",'ÓRDENES-DE-COMPRA'!J108)</x:f>
      </x:c>
      <x:c r="L108" s="59" t="str">
        <x:f>IF(A108="","",'ÓRDENES-DE-COMPRA'!O108)</x:f>
      </x:c>
      <x:c r="M108" s="59" t="str">
        <x:f>IF(A108="","",'ÓRDENES-DE-COMPRA'!P108)</x:f>
      </x:c>
      <x:c r="N108" s="59" t="str">
        <x:f>IF(A108="","",'ÓRDENES-DE-COMPRA'!Q108)</x:f>
      </x:c>
      <x:c r="O108" s="60" t="str">
        <x:f>IF(A108="","",'ÓRDENES-DE-COMPRA'!R108)</x:f>
      </x:c>
      <x:c r="P108" s="46" t="str">
        <x:f>IF(A108="","",'ÓRDENES-DE-COMPRA'!S108)</x:f>
      </x:c>
      <x:c r="Q108" s="76" t="str">
        <x:f>IF(A108="","",IF(OR(N108=0,F108=""),0,MAX('CONFIGURACIÓN'!$B$7-F108,0)))</x:f>
      </x:c>
      <x:c r="R108" s="46" t="str">
        <x:f>IF(A108="","",IF(G108="Cancelada","Sin acción",IF(P108="Vencida","Acción requerida",IF(N108&gt;='CONFIGURACIÓN'!$B$10,"Valor alto",IF(P108="Próxima a vencer","Supervisar","Rutina")))))</x:f>
      </x:c>
    </x:row>
    <x:row r="109">
      <x:c r="A109" s="46" t="str">
        <x:f>IF('ÓRDENES-DE-COMPRA'!A109="","",'ÓRDENES-DE-COMPRA'!A109)</x:f>
      </x:c>
      <x:c r="B109" s="46" t="str">
        <x:f>IF(A109="","",'ÓRDENES-DE-COMPRA'!C109)</x:f>
      </x:c>
      <x:c r="C109" s="46" t="str">
        <x:f>IF(A109="","",'ÓRDENES-DE-COMPRA'!D109)</x:f>
      </x:c>
      <x:c r="D109" s="46" t="str">
        <x:f>IF(A109="","",'ÓRDENES-DE-COMPRA'!E109)</x:f>
      </x:c>
      <x:c r="E109" s="75" t="str">
        <x:f>IF(A109="","",'ÓRDENES-DE-COMPRA'!B109)</x:f>
      </x:c>
      <x:c r="F109" s="75" t="str">
        <x:f>IF(A109="","",'ÓRDENES-DE-COMPRA'!F109)</x:f>
      </x:c>
      <x:c r="G109" s="46" t="str">
        <x:f>IF(A109="","",'ÓRDENES-DE-COMPRA'!H109)</x:f>
      </x:c>
      <x:c r="H109" s="46" t="str">
        <x:f>IF(A109="","",'ÓRDENES-DE-COMPRA'!L109)</x:f>
      </x:c>
      <x:c r="I109" s="59" t="str">
        <x:f>IF(A109="","",'ÓRDENES-DE-COMPRA'!M109)</x:f>
      </x:c>
      <x:c r="J109" s="59" t="str">
        <x:f>IF(A109="","",'ÓRDENES-DE-COMPRA'!N109)</x:f>
      </x:c>
      <x:c r="K109" s="59" t="str">
        <x:f>IF(A109="","",'ÓRDENES-DE-COMPRA'!J109)</x:f>
      </x:c>
      <x:c r="L109" s="59" t="str">
        <x:f>IF(A109="","",'ÓRDENES-DE-COMPRA'!O109)</x:f>
      </x:c>
      <x:c r="M109" s="59" t="str">
        <x:f>IF(A109="","",'ÓRDENES-DE-COMPRA'!P109)</x:f>
      </x:c>
      <x:c r="N109" s="59" t="str">
        <x:f>IF(A109="","",'ÓRDENES-DE-COMPRA'!Q109)</x:f>
      </x:c>
      <x:c r="O109" s="60" t="str">
        <x:f>IF(A109="","",'ÓRDENES-DE-COMPRA'!R109)</x:f>
      </x:c>
      <x:c r="P109" s="46" t="str">
        <x:f>IF(A109="","",'ÓRDENES-DE-COMPRA'!S109)</x:f>
      </x:c>
      <x:c r="Q109" s="76" t="str">
        <x:f>IF(A109="","",IF(OR(N109=0,F109=""),0,MAX('CONFIGURACIÓN'!$B$7-F109,0)))</x:f>
      </x:c>
      <x:c r="R109" s="46" t="str">
        <x:f>IF(A109="","",IF(G109="Cancelada","Sin acción",IF(P109="Vencida","Acción requerida",IF(N109&gt;='CONFIGURACIÓN'!$B$10,"Valor alto",IF(P109="Próxima a vencer","Supervisar","Rutina")))))</x:f>
      </x:c>
    </x:row>
    <x:row r="110">
      <x:c r="A110" s="46" t="str">
        <x:f>IF('ÓRDENES-DE-COMPRA'!A110="","",'ÓRDENES-DE-COMPRA'!A110)</x:f>
      </x:c>
      <x:c r="B110" s="46" t="str">
        <x:f>IF(A110="","",'ÓRDENES-DE-COMPRA'!C110)</x:f>
      </x:c>
      <x:c r="C110" s="46" t="str">
        <x:f>IF(A110="","",'ÓRDENES-DE-COMPRA'!D110)</x:f>
      </x:c>
      <x:c r="D110" s="46" t="str">
        <x:f>IF(A110="","",'ÓRDENES-DE-COMPRA'!E110)</x:f>
      </x:c>
      <x:c r="E110" s="75" t="str">
        <x:f>IF(A110="","",'ÓRDENES-DE-COMPRA'!B110)</x:f>
      </x:c>
      <x:c r="F110" s="75" t="str">
        <x:f>IF(A110="","",'ÓRDENES-DE-COMPRA'!F110)</x:f>
      </x:c>
      <x:c r="G110" s="46" t="str">
        <x:f>IF(A110="","",'ÓRDENES-DE-COMPRA'!H110)</x:f>
      </x:c>
      <x:c r="H110" s="46" t="str">
        <x:f>IF(A110="","",'ÓRDENES-DE-COMPRA'!L110)</x:f>
      </x:c>
      <x:c r="I110" s="59" t="str">
        <x:f>IF(A110="","",'ÓRDENES-DE-COMPRA'!M110)</x:f>
      </x:c>
      <x:c r="J110" s="59" t="str">
        <x:f>IF(A110="","",'ÓRDENES-DE-COMPRA'!N110)</x:f>
      </x:c>
      <x:c r="K110" s="59" t="str">
        <x:f>IF(A110="","",'ÓRDENES-DE-COMPRA'!J110)</x:f>
      </x:c>
      <x:c r="L110" s="59" t="str">
        <x:f>IF(A110="","",'ÓRDENES-DE-COMPRA'!O110)</x:f>
      </x:c>
      <x:c r="M110" s="59" t="str">
        <x:f>IF(A110="","",'ÓRDENES-DE-COMPRA'!P110)</x:f>
      </x:c>
      <x:c r="N110" s="59" t="str">
        <x:f>IF(A110="","",'ÓRDENES-DE-COMPRA'!Q110)</x:f>
      </x:c>
      <x:c r="O110" s="60" t="str">
        <x:f>IF(A110="","",'ÓRDENES-DE-COMPRA'!R110)</x:f>
      </x:c>
      <x:c r="P110" s="46" t="str">
        <x:f>IF(A110="","",'ÓRDENES-DE-COMPRA'!S110)</x:f>
      </x:c>
      <x:c r="Q110" s="76" t="str">
        <x:f>IF(A110="","",IF(OR(N110=0,F110=""),0,MAX('CONFIGURACIÓN'!$B$7-F110,0)))</x:f>
      </x:c>
      <x:c r="R110" s="46" t="str">
        <x:f>IF(A110="","",IF(G110="Cancelada","Sin acción",IF(P110="Vencida","Acción requerida",IF(N110&gt;='CONFIGURACIÓN'!$B$10,"Valor alto",IF(P110="Próxima a vencer","Supervisar","Rutina")))))</x:f>
      </x:c>
    </x:row>
  </x:sheetData>
  <x:mergeCells>
    <x:mergeCell ref="A1:R2"/>
    <x:mergeCell ref="A3:R3"/>
    <x:mergeCell ref="A5:R6"/>
  </x:mergeCells>
  <x:conditionalFormatting sqref="P11:P110">
    <x:cfRule type="containsText" dxfId="10" priority="1" operator="containsText" text="Completa"/>
    <x:cfRule type="containsText" dxfId="11" priority="2" operator="containsText" text="Vencida"/>
    <x:cfRule type="containsText" dxfId="12" priority="3" operator="containsText" text="Próxima a vencer"/>
    <x:cfRule type="containsText" dxfId="13" priority="4" operator="containsText" text="Cancelada"/>
  </x:conditionalFormatting>
  <x:conditionalFormatting sqref="R11:R110">
    <x:cfRule type="containsText" dxfId="14" priority="5" operator="containsText" text="Acción requerida"/>
    <x:cfRule type="containsText" dxfId="15" priority="6" operator="containsText" text="Valor alto"/>
  </x:conditionalFormatting>
  <x:pageMargins left="0.7" right="0.7" top="0.75" bottom="0.75" header="0.3" footer="0.3"/>
  <x:tableParts count="1">
    <x:tablePart xmlns:r="http://schemas.openxmlformats.org/officeDocument/2006/relationships" r:id="R09ce2dbe43304552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1" hidden="0" customWidth="1"/>
    <x:col min="3" max="3" width="25" hidden="0" customWidth="1"/>
    <x:col min="4" max="4" width="23" hidden="0" customWidth="1"/>
    <x:col min="5" max="5" width="22" hidden="0" customWidth="1"/>
    <x:col min="6" max="6" width="23" hidden="0" customWidth="1"/>
    <x:col min="7" max="7" width="22" hidden="0" customWidth="1"/>
  </x:cols>
  <x:sheetData>
    <x:row r="1" ht="26" customHeight="1">
      <x:c r="A1" s="5" t="str">
        <x:v>RESUMEN MENSUAL</x:v>
      </x:c>
      <x:c r="B1" s="5"/>
      <x:c r="C1" s="5"/>
      <x:c r="D1" s="5"/>
      <x:c r="E1" s="5"/>
      <x:c r="F1" s="5"/>
      <x:c r="G1" s="5"/>
    </x:row>
    <x:row r="2" ht="26" customHeight="1">
      <x:c r="A2" s="5"/>
      <x:c r="B2" s="5"/>
      <x:c r="C2" s="5"/>
      <x:c r="D2" s="5"/>
      <x:c r="E2" s="5"/>
      <x:c r="F2" s="5"/>
      <x:c r="G2" s="5"/>
    </x:row>
    <x:row r="3" ht="28" customHeight="1">
      <x:c r="A3" s="8" t="str">
        <x:v>Revise las compras del año por mes de orden y las recepciones por mes de recepción.</x:v>
      </x:c>
      <x:c r="B3" s="8"/>
      <x:c r="C3" s="8"/>
      <x:c r="D3" s="8"/>
      <x:c r="E3" s="8"/>
      <x:c r="F3" s="8"/>
      <x:c r="G3" s="8"/>
    </x:row>
    <x:row r="4">
      <x:c r="A4" s="3"/>
      <x:c r="B4" s="3"/>
      <x:c r="C4" s="3"/>
      <x:c r="D4" s="3"/>
      <x:c r="E4" s="3"/>
      <x:c r="F4" s="3"/>
      <x:c r="G4" s="3"/>
    </x:row>
    <x:row r="5">
      <x:c r="A5" s="38" t="str">
        <x:v>Se excluyen órdenes canceladas. El valor recibido usa la recepción actual limitada y la fecha introducida en cada línea.</x:v>
      </x:c>
      <x:c r="B5" s="38"/>
      <x:c r="C5" s="38"/>
      <x:c r="D5" s="38"/>
      <x:c r="E5" s="38"/>
      <x:c r="F5" s="38"/>
      <x:c r="G5" s="38"/>
    </x:row>
    <x:row r="6">
      <x:c r="A6" s="38"/>
      <x:c r="B6" s="38"/>
      <x:c r="C6" s="38"/>
      <x:c r="D6" s="38"/>
      <x:c r="E6" s="38"/>
      <x:c r="F6" s="38"/>
      <x:c r="G6" s="38"/>
    </x:row>
    <x:row r="7">
      <x:c r="A7" s="3"/>
      <x:c r="B7" s="3"/>
      <x:c r="C7" s="3"/>
      <x:c r="D7" s="3"/>
      <x:c r="E7" s="3"/>
      <x:c r="F7" s="3"/>
      <x:c r="G7" s="3"/>
    </x:row>
    <x:row r="8">
      <x:c r="A8" s="3"/>
      <x:c r="B8" s="3"/>
      <x:c r="C8" s="3"/>
      <x:c r="D8" s="3"/>
      <x:c r="E8" s="3"/>
      <x:c r="F8" s="3"/>
      <x:c r="G8" s="3"/>
    </x:row>
    <x:row r="9" ht="42" customHeight="1">
      <x:c r="A9" s="57" t="str">
        <x:v>Mes</x:v>
      </x:c>
      <x:c r="B9" s="57" t="str">
        <x:v>Órdenes de compra</x:v>
      </x:c>
      <x:c r="C9" s="57" t="str">
        <x:v>Mercancía pedida</x:v>
      </x:c>
      <x:c r="D9" s="57" t="str">
        <x:v>Total de órdenes</x:v>
      </x:c>
      <x:c r="E9" s="57" t="str">
        <x:v>Valor recibido</x:v>
      </x:c>
      <x:c r="F9" s="57" t="str">
        <x:v>Valor pendiente</x:v>
      </x:c>
      <x:c r="G9" s="57" t="str">
        <x:v>Órdenes canceladas</x:v>
      </x:c>
    </x:row>
    <x:row r="10">
      <x:c r="A10" s="46" t="str">
        <x:f>"Ene "&amp;YEAR('CONFIGURACIÓN'!$B$7)</x:f>
        <x:v>Ene 2026</x:v>
      </x:c>
      <x:c r="B10" s="46" t="n">
        <x:f>COUNTIFS('ÓRDENES-DE-COMPRA'!$B$11:$B$110,"&gt;="&amp;DATE(YEAR('CONFIGURACIÓN'!$B$7),1,1),'ÓRDENES-DE-COMPRA'!$B$11:$B$110,"&lt;"&amp;EDATE(DATE(YEAR('CONFIGURACIÓN'!$B$7),1,1),1),'ÓRDENES-DE-COMPRA'!$H$11:$H$110,"&lt;&gt;Cancelada")</x:f>
        <x:v>1</x:v>
      </x:c>
      <x:c r="C10" s="59" t="n">
        <x:f>SUMIFS('ÓRDENES-DE-COMPRA'!$M$11:$M$110,'ÓRDENES-DE-COMPRA'!$B$11:$B$110,"&gt;="&amp;DATE(YEAR('CONFIGURACIÓN'!$B$7),1,1),'ÓRDENES-DE-COMPRA'!$B$11:$B$110,"&lt;"&amp;EDATE(DATE(YEAR('CONFIGURACIÓN'!$B$7),1,1),1),'ÓRDENES-DE-COMPRA'!$H$11:$H$110,"&lt;&gt;Cancelada")</x:f>
        <x:v>1050</x:v>
      </x:c>
      <x:c r="D10" s="59" t="n">
        <x:f>SUMIFS('ÓRDENES-DE-COMPRA'!$O$11:$O$110,'ÓRDENES-DE-COMPRA'!$B$11:$B$110,"&gt;="&amp;DATE(YEAR('CONFIGURACIÓN'!$B$7),1,1),'ÓRDENES-DE-COMPRA'!$B$11:$B$110,"&lt;"&amp;EDATE(DATE(YEAR('CONFIGURACIÓN'!$B$7),1,1),1),'ÓRDENES-DE-COMPRA'!$H$11:$H$110,"&lt;&gt;Cancelada")</x:f>
        <x:v>1127.5</x:v>
      </x:c>
      <x:c r="E10" s="59" t="n">
        <x:f>SUMIFS('LÍNEAS-DE-PEDIDO'!$N$11:$N$210,'LÍNEAS-DE-PEDIDO'!$I$11:$I$210,"&gt;="&amp;DATE(YEAR('CONFIGURACIÓN'!$B$7),1,1),'LÍNEAS-DE-PEDIDO'!$I$11:$I$210,"&lt;"&amp;EDATE(DATE(YEAR('CONFIGURACIÓN'!$B$7),1,1),1),'LÍNEAS-DE-PEDIDO'!$L$11:$L$210,"&lt;&gt;Cancelada")</x:f>
        <x:v>1050</x:v>
      </x:c>
      <x:c r="F10" s="59" t="n">
        <x:f>SUMIFS('ÓRDENES-DE-COMPRA'!$Q$11:$Q$110,'ÓRDENES-DE-COMPRA'!$B$11:$B$110,"&gt;="&amp;DATE(YEAR('CONFIGURACIÓN'!$B$7),1,1),'ÓRDENES-DE-COMPRA'!$B$11:$B$110,"&lt;"&amp;EDATE(DATE(YEAR('CONFIGURACIÓN'!$B$7),1,1),1),'ÓRDENES-DE-COMPRA'!$H$11:$H$110,"&lt;&gt;Cancelada")</x:f>
        <x:v>0</x:v>
      </x:c>
      <x:c r="G10" s="46" t="n">
        <x:f>COUNTIFS('ÓRDENES-DE-COMPRA'!$B$11:$B$110,"&gt;="&amp;DATE(YEAR('CONFIGURACIÓN'!$B$7),1,1),'ÓRDENES-DE-COMPRA'!$B$11:$B$110,"&lt;"&amp;EDATE(DATE(YEAR('CONFIGURACIÓN'!$B$7),1,1),1),'ÓRDENES-DE-COMPRA'!$H$11:$H$110,"Cancelada")</x:f>
        <x:v>0</x:v>
      </x:c>
    </x:row>
    <x:row r="11">
      <x:c r="A11" s="46" t="str">
        <x:f>"Feb "&amp;YEAR('CONFIGURACIÓN'!$B$7)</x:f>
        <x:v>Feb 2026</x:v>
      </x:c>
      <x:c r="B11" s="46" t="n">
        <x:f>COUNTIFS('ÓRDENES-DE-COMPRA'!$B$11:$B$110,"&gt;="&amp;DATE(YEAR('CONFIGURACIÓN'!$B$7),2,1),'ÓRDENES-DE-COMPRA'!$B$11:$B$110,"&lt;"&amp;EDATE(DATE(YEAR('CONFIGURACIÓN'!$B$7),2,1),1),'ÓRDENES-DE-COMPRA'!$H$11:$H$110,"&lt;&gt;Cancelada")</x:f>
        <x:v>1</x:v>
      </x:c>
      <x:c r="C11" s="59" t="n">
        <x:f>SUMIFS('ÓRDENES-DE-COMPRA'!$M$11:$M$110,'ÓRDENES-DE-COMPRA'!$B$11:$B$110,"&gt;="&amp;DATE(YEAR('CONFIGURACIÓN'!$B$7),2,1),'ÓRDENES-DE-COMPRA'!$B$11:$B$110,"&lt;"&amp;EDATE(DATE(YEAR('CONFIGURACIÓN'!$B$7),2,1),1),'ÓRDENES-DE-COMPRA'!$H$11:$H$110,"&lt;&gt;Cancelada")</x:f>
        <x:v>960</x:v>
      </x:c>
      <x:c r="D11" s="59" t="n">
        <x:f>SUMIFS('ÓRDENES-DE-COMPRA'!$O$11:$O$110,'ÓRDENES-DE-COMPRA'!$B$11:$B$110,"&gt;="&amp;DATE(YEAR('CONFIGURACIÓN'!$B$7),2,1),'ÓRDENES-DE-COMPRA'!$B$11:$B$110,"&lt;"&amp;EDATE(DATE(YEAR('CONFIGURACIÓN'!$B$7),2,1),1),'ÓRDENES-DE-COMPRA'!$H$11:$H$110,"&lt;&gt;Cancelada")</x:f>
        <x:v>1048</x:v>
      </x:c>
      <x:c r="E11" s="59" t="n">
        <x:f>SUMIFS('LÍNEAS-DE-PEDIDO'!$N$11:$N$210,'LÍNEAS-DE-PEDIDO'!$I$11:$I$210,"&gt;="&amp;DATE(YEAR('CONFIGURACIÓN'!$B$7),2,1),'LÍNEAS-DE-PEDIDO'!$I$11:$I$210,"&lt;"&amp;EDATE(DATE(YEAR('CONFIGURACIÓN'!$B$7),2,1),1),'LÍNEAS-DE-PEDIDO'!$L$11:$L$210,"&lt;&gt;Cancelada")</x:f>
        <x:v>720</x:v>
      </x:c>
      <x:c r="F11" s="59" t="n">
        <x:f>SUMIFS('ÓRDENES-DE-COMPRA'!$Q$11:$Q$110,'ÓRDENES-DE-COMPRA'!$B$11:$B$110,"&gt;="&amp;DATE(YEAR('CONFIGURACIÓN'!$B$7),2,1),'ÓRDENES-DE-COMPRA'!$B$11:$B$110,"&lt;"&amp;EDATE(DATE(YEAR('CONFIGURACIÓN'!$B$7),2,1),1),'ÓRDENES-DE-COMPRA'!$H$11:$H$110,"&lt;&gt;Cancelada")</x:f>
        <x:v>240</x:v>
      </x:c>
      <x:c r="G11" s="46" t="n">
        <x:f>COUNTIFS('ÓRDENES-DE-COMPRA'!$B$11:$B$110,"&gt;="&amp;DATE(YEAR('CONFIGURACIÓN'!$B$7),2,1),'ÓRDENES-DE-COMPRA'!$B$11:$B$110,"&lt;"&amp;EDATE(DATE(YEAR('CONFIGURACIÓN'!$B$7),2,1),1),'ÓRDENES-DE-COMPRA'!$H$11:$H$110,"Cancelada")</x:f>
        <x:v>0</x:v>
      </x:c>
    </x:row>
    <x:row r="12">
      <x:c r="A12" s="46" t="str">
        <x:f>"Mar "&amp;YEAR('CONFIGURACIÓN'!$B$7)</x:f>
        <x:v>Mar 2026</x:v>
      </x:c>
      <x:c r="B12" s="46" t="n">
        <x:f>COUNTIFS('ÓRDENES-DE-COMPRA'!$B$11:$B$110,"&gt;="&amp;DATE(YEAR('CONFIGURACIÓN'!$B$7),3,1),'ÓRDENES-DE-COMPRA'!$B$11:$B$110,"&lt;"&amp;EDATE(DATE(YEAR('CONFIGURACIÓN'!$B$7),3,1),1),'ÓRDENES-DE-COMPRA'!$H$11:$H$110,"&lt;&gt;Cancelada")</x:f>
        <x:v>1</x:v>
      </x:c>
      <x:c r="C12" s="59" t="n">
        <x:f>SUMIFS('ÓRDENES-DE-COMPRA'!$M$11:$M$110,'ÓRDENES-DE-COMPRA'!$B$11:$B$110,"&gt;="&amp;DATE(YEAR('CONFIGURACIÓN'!$B$7),3,1),'ÓRDENES-DE-COMPRA'!$B$11:$B$110,"&lt;"&amp;EDATE(DATE(YEAR('CONFIGURACIÓN'!$B$7),3,1),1),'ÓRDENES-DE-COMPRA'!$H$11:$H$110,"&lt;&gt;Cancelada")</x:f>
        <x:v>1870</x:v>
      </x:c>
      <x:c r="D12" s="59" t="n">
        <x:f>SUMIFS('ÓRDENES-DE-COMPRA'!$O$11:$O$110,'ÓRDENES-DE-COMPRA'!$B$11:$B$110,"&gt;="&amp;DATE(YEAR('CONFIGURACIÓN'!$B$7),3,1),'ÓRDENES-DE-COMPRA'!$B$11:$B$110,"&lt;"&amp;EDATE(DATE(YEAR('CONFIGURACIÓN'!$B$7),3,1),1),'ÓRDENES-DE-COMPRA'!$H$11:$H$110,"&lt;&gt;Cancelada")</x:f>
        <x:v>1993.5</x:v>
      </x:c>
      <x:c r="E12" s="59" t="n">
        <x:f>SUMIFS('LÍNEAS-DE-PEDIDO'!$N$11:$N$210,'LÍNEAS-DE-PEDIDO'!$I$11:$I$210,"&gt;="&amp;DATE(YEAR('CONFIGURACIÓN'!$B$7),3,1),'LÍNEAS-DE-PEDIDO'!$I$11:$I$210,"&lt;"&amp;EDATE(DATE(YEAR('CONFIGURACIÓN'!$B$7),3,1),1),'LÍNEAS-DE-PEDIDO'!$L$11:$L$210,"&lt;&gt;Cancelada")</x:f>
        <x:v>1870</x:v>
      </x:c>
      <x:c r="F12" s="59" t="n">
        <x:f>SUMIFS('ÓRDENES-DE-COMPRA'!$Q$11:$Q$110,'ÓRDENES-DE-COMPRA'!$B$11:$B$110,"&gt;="&amp;DATE(YEAR('CONFIGURACIÓN'!$B$7),3,1),'ÓRDENES-DE-COMPRA'!$B$11:$B$110,"&lt;"&amp;EDATE(DATE(YEAR('CONFIGURACIÓN'!$B$7),3,1),1),'ÓRDENES-DE-COMPRA'!$H$11:$H$110,"&lt;&gt;Cancelada")</x:f>
        <x:v>0</x:v>
      </x:c>
      <x:c r="G12" s="46" t="n">
        <x:f>COUNTIFS('ÓRDENES-DE-COMPRA'!$B$11:$B$110,"&gt;="&amp;DATE(YEAR('CONFIGURACIÓN'!$B$7),3,1),'ÓRDENES-DE-COMPRA'!$B$11:$B$110,"&lt;"&amp;EDATE(DATE(YEAR('CONFIGURACIÓN'!$B$7),3,1),1),'ÓRDENES-DE-COMPRA'!$H$11:$H$110,"Cancelada")</x:f>
        <x:v>0</x:v>
      </x:c>
    </x:row>
    <x:row r="13">
      <x:c r="A13" s="46" t="str">
        <x:f>"Abr "&amp;YEAR('CONFIGURACIÓN'!$B$7)</x:f>
        <x:v>Abr 2026</x:v>
      </x:c>
      <x:c r="B13" s="46" t="n">
        <x:f>COUNTIFS('ÓRDENES-DE-COMPRA'!$B$11:$B$110,"&gt;="&amp;DATE(YEAR('CONFIGURACIÓN'!$B$7),4,1),'ÓRDENES-DE-COMPRA'!$B$11:$B$110,"&lt;"&amp;EDATE(DATE(YEAR('CONFIGURACIÓN'!$B$7),4,1),1),'ÓRDENES-DE-COMPRA'!$H$11:$H$110,"&lt;&gt;Cancelada")</x:f>
        <x:v>1</x:v>
      </x:c>
      <x:c r="C13" s="59" t="n">
        <x:f>SUMIFS('ÓRDENES-DE-COMPRA'!$M$11:$M$110,'ÓRDENES-DE-COMPRA'!$B$11:$B$110,"&gt;="&amp;DATE(YEAR('CONFIGURACIÓN'!$B$7),4,1),'ÓRDENES-DE-COMPRA'!$B$11:$B$110,"&lt;"&amp;EDATE(DATE(YEAR('CONFIGURACIÓN'!$B$7),4,1),1),'ÓRDENES-DE-COMPRA'!$H$11:$H$110,"&lt;&gt;Cancelada")</x:f>
        <x:v>940</x:v>
      </x:c>
      <x:c r="D13" s="59" t="n">
        <x:f>SUMIFS('ÓRDENES-DE-COMPRA'!$O$11:$O$110,'ÓRDENES-DE-COMPRA'!$B$11:$B$110,"&gt;="&amp;DATE(YEAR('CONFIGURACIÓN'!$B$7),4,1),'ÓRDENES-DE-COMPRA'!$B$11:$B$110,"&lt;"&amp;EDATE(DATE(YEAR('CONFIGURACIÓN'!$B$7),4,1),1),'ÓRDENES-DE-COMPRA'!$H$11:$H$110,"&lt;&gt;Cancelada")</x:f>
        <x:v>1022</x:v>
      </x:c>
      <x:c r="E13" s="59" t="n">
        <x:f>SUMIFS('LÍNEAS-DE-PEDIDO'!$N$11:$N$210,'LÍNEAS-DE-PEDIDO'!$I$11:$I$210,"&gt;="&amp;DATE(YEAR('CONFIGURACIÓN'!$B$7),4,1),'LÍNEAS-DE-PEDIDO'!$I$11:$I$210,"&lt;"&amp;EDATE(DATE(YEAR('CONFIGURACIÓN'!$B$7),4,1),1),'LÍNEAS-DE-PEDIDO'!$L$11:$L$210,"&lt;&gt;Cancelada")</x:f>
        <x:v>660</x:v>
      </x:c>
      <x:c r="F13" s="59" t="n">
        <x:f>SUMIFS('ÓRDENES-DE-COMPRA'!$Q$11:$Q$110,'ÓRDENES-DE-COMPRA'!$B$11:$B$110,"&gt;="&amp;DATE(YEAR('CONFIGURACIÓN'!$B$7),4,1),'ÓRDENES-DE-COMPRA'!$B$11:$B$110,"&lt;"&amp;EDATE(DATE(YEAR('CONFIGURACIÓN'!$B$7),4,1),1),'ÓRDENES-DE-COMPRA'!$H$11:$H$110,"&lt;&gt;Cancelada")</x:f>
        <x:v>280</x:v>
      </x:c>
      <x:c r="G13" s="46" t="n">
        <x:f>COUNTIFS('ÓRDENES-DE-COMPRA'!$B$11:$B$110,"&gt;="&amp;DATE(YEAR('CONFIGURACIÓN'!$B$7),4,1),'ÓRDENES-DE-COMPRA'!$B$11:$B$110,"&lt;"&amp;EDATE(DATE(YEAR('CONFIGURACIÓN'!$B$7),4,1),1),'ÓRDENES-DE-COMPRA'!$H$11:$H$110,"Cancelada")</x:f>
        <x:v>0</x:v>
      </x:c>
    </x:row>
    <x:row r="14">
      <x:c r="A14" s="46" t="str">
        <x:f>"May "&amp;YEAR('CONFIGURACIÓN'!$B$7)</x:f>
        <x:v>May 2026</x:v>
      </x:c>
      <x:c r="B14" s="46" t="n">
        <x:f>COUNTIFS('ÓRDENES-DE-COMPRA'!$B$11:$B$110,"&gt;="&amp;DATE(YEAR('CONFIGURACIÓN'!$B$7),5,1),'ÓRDENES-DE-COMPRA'!$B$11:$B$110,"&lt;"&amp;EDATE(DATE(YEAR('CONFIGURACIÓN'!$B$7),5,1),1),'ÓRDENES-DE-COMPRA'!$H$11:$H$110,"&lt;&gt;Cancelada")</x:f>
        <x:v>0</x:v>
      </x:c>
      <x:c r="C14" s="59" t="n">
        <x:f>SUMIFS('ÓRDENES-DE-COMPRA'!$M$11:$M$110,'ÓRDENES-DE-COMPRA'!$B$11:$B$110,"&gt;="&amp;DATE(YEAR('CONFIGURACIÓN'!$B$7),5,1),'ÓRDENES-DE-COMPRA'!$B$11:$B$110,"&lt;"&amp;EDATE(DATE(YEAR('CONFIGURACIÓN'!$B$7),5,1),1),'ÓRDENES-DE-COMPRA'!$H$11:$H$110,"&lt;&gt;Cancelada")</x:f>
        <x:v>0</x:v>
      </x:c>
      <x:c r="D14" s="59" t="n">
        <x:f>SUMIFS('ÓRDENES-DE-COMPRA'!$O$11:$O$110,'ÓRDENES-DE-COMPRA'!$B$11:$B$110,"&gt;="&amp;DATE(YEAR('CONFIGURACIÓN'!$B$7),5,1),'ÓRDENES-DE-COMPRA'!$B$11:$B$110,"&lt;"&amp;EDATE(DATE(YEAR('CONFIGURACIÓN'!$B$7),5,1),1),'ÓRDENES-DE-COMPRA'!$H$11:$H$110,"&lt;&gt;Cancelada")</x:f>
        <x:v>0</x:v>
      </x:c>
      <x:c r="E14" s="59" t="n">
        <x:f>SUMIFS('LÍNEAS-DE-PEDIDO'!$N$11:$N$210,'LÍNEAS-DE-PEDIDO'!$I$11:$I$210,"&gt;="&amp;DATE(YEAR('CONFIGURACIÓN'!$B$7),5,1),'LÍNEAS-DE-PEDIDO'!$I$11:$I$210,"&lt;"&amp;EDATE(DATE(YEAR('CONFIGURACIÓN'!$B$7),5,1),1),'LÍNEAS-DE-PEDIDO'!$L$11:$L$210,"&lt;&gt;Cancelada")</x:f>
        <x:v>0</x:v>
      </x:c>
      <x:c r="F14" s="59" t="n">
        <x:f>SUMIFS('ÓRDENES-DE-COMPRA'!$Q$11:$Q$110,'ÓRDENES-DE-COMPRA'!$B$11:$B$110,"&gt;="&amp;DATE(YEAR('CONFIGURACIÓN'!$B$7),5,1),'ÓRDENES-DE-COMPRA'!$B$11:$B$110,"&lt;"&amp;EDATE(DATE(YEAR('CONFIGURACIÓN'!$B$7),5,1),1),'ÓRDENES-DE-COMPRA'!$H$11:$H$110,"&lt;&gt;Cancelada")</x:f>
        <x:v>0</x:v>
      </x:c>
      <x:c r="G14" s="46" t="n">
        <x:f>COUNTIFS('ÓRDENES-DE-COMPRA'!$B$11:$B$110,"&gt;="&amp;DATE(YEAR('CONFIGURACIÓN'!$B$7),5,1),'ÓRDENES-DE-COMPRA'!$B$11:$B$110,"&lt;"&amp;EDATE(DATE(YEAR('CONFIGURACIÓN'!$B$7),5,1),1),'ÓRDENES-DE-COMPRA'!$H$11:$H$110,"Cancelada")</x:f>
        <x:v>1</x:v>
      </x:c>
    </x:row>
    <x:row r="15">
      <x:c r="A15" s="46" t="str">
        <x:f>"Jun "&amp;YEAR('CONFIGURACIÓN'!$B$7)</x:f>
        <x:v>Jun 2026</x:v>
      </x:c>
      <x:c r="B15" s="46" t="n">
        <x:f>COUNTIFS('ÓRDENES-DE-COMPRA'!$B$11:$B$110,"&gt;="&amp;DATE(YEAR('CONFIGURACIÓN'!$B$7),6,1),'ÓRDENES-DE-COMPRA'!$B$11:$B$110,"&lt;"&amp;EDATE(DATE(YEAR('CONFIGURACIÓN'!$B$7),6,1),1),'ÓRDENES-DE-COMPRA'!$H$11:$H$110,"&lt;&gt;Cancelada")</x:f>
        <x:v>1</x:v>
      </x:c>
      <x:c r="C15" s="59" t="n">
        <x:f>SUMIFS('ÓRDENES-DE-COMPRA'!$M$11:$M$110,'ÓRDENES-DE-COMPRA'!$B$11:$B$110,"&gt;="&amp;DATE(YEAR('CONFIGURACIÓN'!$B$7),6,1),'ÓRDENES-DE-COMPRA'!$B$11:$B$110,"&lt;"&amp;EDATE(DATE(YEAR('CONFIGURACIÓN'!$B$7),6,1),1),'ÓRDENES-DE-COMPRA'!$H$11:$H$110,"&lt;&gt;Cancelada")</x:f>
        <x:v>1590</x:v>
      </x:c>
      <x:c r="D15" s="59" t="n">
        <x:f>SUMIFS('ÓRDENES-DE-COMPRA'!$O$11:$O$110,'ÓRDENES-DE-COMPRA'!$B$11:$B$110,"&gt;="&amp;DATE(YEAR('CONFIGURACIÓN'!$B$7),6,1),'ÓRDENES-DE-COMPRA'!$B$11:$B$110,"&lt;"&amp;EDATE(DATE(YEAR('CONFIGURACIÓN'!$B$7),6,1),1),'ÓRDENES-DE-COMPRA'!$H$11:$H$110,"&lt;&gt;Cancelada")</x:f>
        <x:v>1719.5</x:v>
      </x:c>
      <x:c r="E15" s="59" t="n">
        <x:f>SUMIFS('LÍNEAS-DE-PEDIDO'!$N$11:$N$210,'LÍNEAS-DE-PEDIDO'!$I$11:$I$210,"&gt;="&amp;DATE(YEAR('CONFIGURACIÓN'!$B$7),6,1),'LÍNEAS-DE-PEDIDO'!$I$11:$I$210,"&lt;"&amp;EDATE(DATE(YEAR('CONFIGURACIÓN'!$B$7),6,1),1),'LÍNEAS-DE-PEDIDO'!$L$11:$L$210,"&lt;&gt;Cancelada")</x:f>
        <x:v>0</x:v>
      </x:c>
      <x:c r="F15" s="59" t="n">
        <x:f>SUMIFS('ÓRDENES-DE-COMPRA'!$Q$11:$Q$110,'ÓRDENES-DE-COMPRA'!$B$11:$B$110,"&gt;="&amp;DATE(YEAR('CONFIGURACIÓN'!$B$7),6,1),'ÓRDENES-DE-COMPRA'!$B$11:$B$110,"&lt;"&amp;EDATE(DATE(YEAR('CONFIGURACIÓN'!$B$7),6,1),1),'ÓRDENES-DE-COMPRA'!$H$11:$H$110,"&lt;&gt;Cancelada")</x:f>
        <x:v>1590</x:v>
      </x:c>
      <x:c r="G15" s="46" t="n">
        <x:f>COUNTIFS('ÓRDENES-DE-COMPRA'!$B$11:$B$110,"&gt;="&amp;DATE(YEAR('CONFIGURACIÓN'!$B$7),6,1),'ÓRDENES-DE-COMPRA'!$B$11:$B$110,"&lt;"&amp;EDATE(DATE(YEAR('CONFIGURACIÓN'!$B$7),6,1),1),'ÓRDENES-DE-COMPRA'!$H$11:$H$110,"Cancelada")</x:f>
        <x:v>0</x:v>
      </x:c>
    </x:row>
    <x:row r="16">
      <x:c r="A16" s="46" t="str">
        <x:f>"Jul "&amp;YEAR('CONFIGURACIÓN'!$B$7)</x:f>
        <x:v>Jul 2026</x:v>
      </x:c>
      <x:c r="B16" s="46" t="n">
        <x:f>COUNTIFS('ÓRDENES-DE-COMPRA'!$B$11:$B$110,"&gt;="&amp;DATE(YEAR('CONFIGURACIÓN'!$B$7),7,1),'ÓRDENES-DE-COMPRA'!$B$11:$B$110,"&lt;"&amp;EDATE(DATE(YEAR('CONFIGURACIÓN'!$B$7),7,1),1),'ÓRDENES-DE-COMPRA'!$H$11:$H$110,"&lt;&gt;Cancelada")</x:f>
        <x:v>1</x:v>
      </x:c>
      <x:c r="C16" s="59" t="n">
        <x:f>SUMIFS('ÓRDENES-DE-COMPRA'!$M$11:$M$110,'ÓRDENES-DE-COMPRA'!$B$11:$B$110,"&gt;="&amp;DATE(YEAR('CONFIGURACIÓN'!$B$7),7,1),'ÓRDENES-DE-COMPRA'!$B$11:$B$110,"&lt;"&amp;EDATE(DATE(YEAR('CONFIGURACIÓN'!$B$7),7,1),1),'ÓRDENES-DE-COMPRA'!$H$11:$H$110,"&lt;&gt;Cancelada")</x:f>
        <x:v>1280</x:v>
      </x:c>
      <x:c r="D16" s="59" t="n">
        <x:f>SUMIFS('ÓRDENES-DE-COMPRA'!$O$11:$O$110,'ÓRDENES-DE-COMPRA'!$B$11:$B$110,"&gt;="&amp;DATE(YEAR('CONFIGURACIÓN'!$B$7),7,1),'ÓRDENES-DE-COMPRA'!$B$11:$B$110,"&lt;"&amp;EDATE(DATE(YEAR('CONFIGURACIÓN'!$B$7),7,1),1),'ÓRDENES-DE-COMPRA'!$H$11:$H$110,"&lt;&gt;Cancelada")</x:f>
        <x:v>1369</x:v>
      </x:c>
      <x:c r="E16" s="59" t="n">
        <x:f>SUMIFS('LÍNEAS-DE-PEDIDO'!$N$11:$N$210,'LÍNEAS-DE-PEDIDO'!$I$11:$I$210,"&gt;="&amp;DATE(YEAR('CONFIGURACIÓN'!$B$7),7,1),'LÍNEAS-DE-PEDIDO'!$I$11:$I$210,"&lt;"&amp;EDATE(DATE(YEAR('CONFIGURACIÓN'!$B$7),7,1),1),'LÍNEAS-DE-PEDIDO'!$L$11:$L$210,"&lt;&gt;Cancelada")</x:f>
        <x:v>920</x:v>
      </x:c>
      <x:c r="F16" s="59" t="n">
        <x:f>SUMIFS('ÓRDENES-DE-COMPRA'!$Q$11:$Q$110,'ÓRDENES-DE-COMPRA'!$B$11:$B$110,"&gt;="&amp;DATE(YEAR('CONFIGURACIÓN'!$B$7),7,1),'ÓRDENES-DE-COMPRA'!$B$11:$B$110,"&lt;"&amp;EDATE(DATE(YEAR('CONFIGURACIÓN'!$B$7),7,1),1),'ÓRDENES-DE-COMPRA'!$H$11:$H$110,"&lt;&gt;Cancelada")</x:f>
        <x:v>360</x:v>
      </x:c>
      <x:c r="G16" s="46" t="n">
        <x:f>COUNTIFS('ÓRDENES-DE-COMPRA'!$B$11:$B$110,"&gt;="&amp;DATE(YEAR('CONFIGURACIÓN'!$B$7),7,1),'ÓRDENES-DE-COMPRA'!$B$11:$B$110,"&lt;"&amp;EDATE(DATE(YEAR('CONFIGURACIÓN'!$B$7),7,1),1),'ÓRDENES-DE-COMPRA'!$H$11:$H$110,"Cancelada")</x:f>
        <x:v>0</x:v>
      </x:c>
    </x:row>
    <x:row r="17">
      <x:c r="A17" s="46" t="str">
        <x:f>"Ago "&amp;YEAR('CONFIGURACIÓN'!$B$7)</x:f>
        <x:v>Ago 2026</x:v>
      </x:c>
      <x:c r="B17" s="46" t="n">
        <x:f>COUNTIFS('ÓRDENES-DE-COMPRA'!$B$11:$B$110,"&gt;="&amp;DATE(YEAR('CONFIGURACIÓN'!$B$7),8,1),'ÓRDENES-DE-COMPRA'!$B$11:$B$110,"&lt;"&amp;EDATE(DATE(YEAR('CONFIGURACIÓN'!$B$7),8,1),1),'ÓRDENES-DE-COMPRA'!$H$11:$H$110,"&lt;&gt;Cancelada")</x:f>
        <x:v>1</x:v>
      </x:c>
      <x:c r="C17" s="59" t="n">
        <x:f>SUMIFS('ÓRDENES-DE-COMPRA'!$M$11:$M$110,'ÓRDENES-DE-COMPRA'!$B$11:$B$110,"&gt;="&amp;DATE(YEAR('CONFIGURACIÓN'!$B$7),8,1),'ÓRDENES-DE-COMPRA'!$B$11:$B$110,"&lt;"&amp;EDATE(DATE(YEAR('CONFIGURACIÓN'!$B$7),8,1),1),'ÓRDENES-DE-COMPRA'!$H$11:$H$110,"&lt;&gt;Cancelada")</x:f>
        <x:v>1200</x:v>
      </x:c>
      <x:c r="D17" s="59" t="n">
        <x:f>SUMIFS('ÓRDENES-DE-COMPRA'!$O$11:$O$110,'ÓRDENES-DE-COMPRA'!$B$11:$B$110,"&gt;="&amp;DATE(YEAR('CONFIGURACIÓN'!$B$7),8,1),'ÓRDENES-DE-COMPRA'!$B$11:$B$110,"&lt;"&amp;EDATE(DATE(YEAR('CONFIGURACIÓN'!$B$7),8,1),1),'ÓRDENES-DE-COMPRA'!$H$11:$H$110,"&lt;&gt;Cancelada")</x:f>
        <x:v>1305</x:v>
      </x:c>
      <x:c r="E17" s="59" t="n">
        <x:f>SUMIFS('LÍNEAS-DE-PEDIDO'!$N$11:$N$210,'LÍNEAS-DE-PEDIDO'!$I$11:$I$210,"&gt;="&amp;DATE(YEAR('CONFIGURACIÓN'!$B$7),8,1),'LÍNEAS-DE-PEDIDO'!$I$11:$I$210,"&lt;"&amp;EDATE(DATE(YEAR('CONFIGURACIÓN'!$B$7),8,1),1),'LÍNEAS-DE-PEDIDO'!$L$11:$L$210,"&lt;&gt;Cancelada")</x:f>
        <x:v>0</x:v>
      </x:c>
      <x:c r="F17" s="59" t="n">
        <x:f>SUMIFS('ÓRDENES-DE-COMPRA'!$Q$11:$Q$110,'ÓRDENES-DE-COMPRA'!$B$11:$B$110,"&gt;="&amp;DATE(YEAR('CONFIGURACIÓN'!$B$7),8,1),'ÓRDENES-DE-COMPRA'!$B$11:$B$110,"&lt;"&amp;EDATE(DATE(YEAR('CONFIGURACIÓN'!$B$7),8,1),1),'ÓRDENES-DE-COMPRA'!$H$11:$H$110,"&lt;&gt;Cancelada")</x:f>
        <x:v>1200</x:v>
      </x:c>
      <x:c r="G17" s="46" t="n">
        <x:f>COUNTIFS('ÓRDENES-DE-COMPRA'!$B$11:$B$110,"&gt;="&amp;DATE(YEAR('CONFIGURACIÓN'!$B$7),8,1),'ÓRDENES-DE-COMPRA'!$B$11:$B$110,"&lt;"&amp;EDATE(DATE(YEAR('CONFIGURACIÓN'!$B$7),8,1),1),'ÓRDENES-DE-COMPRA'!$H$11:$H$110,"Cancelada")</x:f>
        <x:v>0</x:v>
      </x:c>
    </x:row>
    <x:row r="18">
      <x:c r="A18" s="46" t="str">
        <x:f>"Sep "&amp;YEAR('CONFIGURACIÓN'!$B$7)</x:f>
        <x:v>Sep 2026</x:v>
      </x:c>
      <x:c r="B18" s="46" t="n">
        <x:f>COUNTIFS('ÓRDENES-DE-COMPRA'!$B$11:$B$110,"&gt;="&amp;DATE(YEAR('CONFIGURACIÓN'!$B$7),9,1),'ÓRDENES-DE-COMPRA'!$B$11:$B$110,"&lt;"&amp;EDATE(DATE(YEAR('CONFIGURACIÓN'!$B$7),9,1),1),'ÓRDENES-DE-COMPRA'!$H$11:$H$110,"&lt;&gt;Cancelada")</x:f>
        <x:v>0</x:v>
      </x:c>
      <x:c r="C18" s="59" t="n">
        <x:f>SUMIFS('ÓRDENES-DE-COMPRA'!$M$11:$M$110,'ÓRDENES-DE-COMPRA'!$B$11:$B$110,"&gt;="&amp;DATE(YEAR('CONFIGURACIÓN'!$B$7),9,1),'ÓRDENES-DE-COMPRA'!$B$11:$B$110,"&lt;"&amp;EDATE(DATE(YEAR('CONFIGURACIÓN'!$B$7),9,1),1),'ÓRDENES-DE-COMPRA'!$H$11:$H$110,"&lt;&gt;Cancelada")</x:f>
        <x:v>0</x:v>
      </x:c>
      <x:c r="D18" s="59" t="n">
        <x:f>SUMIFS('ÓRDENES-DE-COMPRA'!$O$11:$O$110,'ÓRDENES-DE-COMPRA'!$B$11:$B$110,"&gt;="&amp;DATE(YEAR('CONFIGURACIÓN'!$B$7),9,1),'ÓRDENES-DE-COMPRA'!$B$11:$B$110,"&lt;"&amp;EDATE(DATE(YEAR('CONFIGURACIÓN'!$B$7),9,1),1),'ÓRDENES-DE-COMPRA'!$H$11:$H$110,"&lt;&gt;Cancelada")</x:f>
        <x:v>0</x:v>
      </x:c>
      <x:c r="E18" s="59" t="n">
        <x:f>SUMIFS('LÍNEAS-DE-PEDIDO'!$N$11:$N$210,'LÍNEAS-DE-PEDIDO'!$I$11:$I$210,"&gt;="&amp;DATE(YEAR('CONFIGURACIÓN'!$B$7),9,1),'LÍNEAS-DE-PEDIDO'!$I$11:$I$210,"&lt;"&amp;EDATE(DATE(YEAR('CONFIGURACIÓN'!$B$7),9,1),1),'LÍNEAS-DE-PEDIDO'!$L$11:$L$210,"&lt;&gt;Cancelada")</x:f>
        <x:v>0</x:v>
      </x:c>
      <x:c r="F18" s="59" t="n">
        <x:f>SUMIFS('ÓRDENES-DE-COMPRA'!$Q$11:$Q$110,'ÓRDENES-DE-COMPRA'!$B$11:$B$110,"&gt;="&amp;DATE(YEAR('CONFIGURACIÓN'!$B$7),9,1),'ÓRDENES-DE-COMPRA'!$B$11:$B$110,"&lt;"&amp;EDATE(DATE(YEAR('CONFIGURACIÓN'!$B$7),9,1),1),'ÓRDENES-DE-COMPRA'!$H$11:$H$110,"&lt;&gt;Cancelada")</x:f>
        <x:v>0</x:v>
      </x:c>
      <x:c r="G18" s="46" t="n">
        <x:f>COUNTIFS('ÓRDENES-DE-COMPRA'!$B$11:$B$110,"&gt;="&amp;DATE(YEAR('CONFIGURACIÓN'!$B$7),9,1),'ÓRDENES-DE-COMPRA'!$B$11:$B$110,"&lt;"&amp;EDATE(DATE(YEAR('CONFIGURACIÓN'!$B$7),9,1),1),'ÓRDENES-DE-COMPRA'!$H$11:$H$110,"Cancelada")</x:f>
        <x:v>0</x:v>
      </x:c>
    </x:row>
    <x:row r="19">
      <x:c r="A19" s="46" t="str">
        <x:f>"Oct "&amp;YEAR('CONFIGURACIÓN'!$B$7)</x:f>
        <x:v>Oct 2026</x:v>
      </x:c>
      <x:c r="B19" s="46" t="n">
        <x:f>COUNTIFS('ÓRDENES-DE-COMPRA'!$B$11:$B$110,"&gt;="&amp;DATE(YEAR('CONFIGURACIÓN'!$B$7),10,1),'ÓRDENES-DE-COMPRA'!$B$11:$B$110,"&lt;"&amp;EDATE(DATE(YEAR('CONFIGURACIÓN'!$B$7),10,1),1),'ÓRDENES-DE-COMPRA'!$H$11:$H$110,"&lt;&gt;Cancelada")</x:f>
        <x:v>0</x:v>
      </x:c>
      <x:c r="C19" s="59" t="n">
        <x:f>SUMIFS('ÓRDENES-DE-COMPRA'!$M$11:$M$110,'ÓRDENES-DE-COMPRA'!$B$11:$B$110,"&gt;="&amp;DATE(YEAR('CONFIGURACIÓN'!$B$7),10,1),'ÓRDENES-DE-COMPRA'!$B$11:$B$110,"&lt;"&amp;EDATE(DATE(YEAR('CONFIGURACIÓN'!$B$7),10,1),1),'ÓRDENES-DE-COMPRA'!$H$11:$H$110,"&lt;&gt;Cancelada")</x:f>
        <x:v>0</x:v>
      </x:c>
      <x:c r="D19" s="59" t="n">
        <x:f>SUMIFS('ÓRDENES-DE-COMPRA'!$O$11:$O$110,'ÓRDENES-DE-COMPRA'!$B$11:$B$110,"&gt;="&amp;DATE(YEAR('CONFIGURACIÓN'!$B$7),10,1),'ÓRDENES-DE-COMPRA'!$B$11:$B$110,"&lt;"&amp;EDATE(DATE(YEAR('CONFIGURACIÓN'!$B$7),10,1),1),'ÓRDENES-DE-COMPRA'!$H$11:$H$110,"&lt;&gt;Cancelada")</x:f>
        <x:v>0</x:v>
      </x:c>
      <x:c r="E19" s="59" t="n">
        <x:f>SUMIFS('LÍNEAS-DE-PEDIDO'!$N$11:$N$210,'LÍNEAS-DE-PEDIDO'!$I$11:$I$210,"&gt;="&amp;DATE(YEAR('CONFIGURACIÓN'!$B$7),10,1),'LÍNEAS-DE-PEDIDO'!$I$11:$I$210,"&lt;"&amp;EDATE(DATE(YEAR('CONFIGURACIÓN'!$B$7),10,1),1),'LÍNEAS-DE-PEDIDO'!$L$11:$L$210,"&lt;&gt;Cancelada")</x:f>
        <x:v>0</x:v>
      </x:c>
      <x:c r="F19" s="59" t="n">
        <x:f>SUMIFS('ÓRDENES-DE-COMPRA'!$Q$11:$Q$110,'ÓRDENES-DE-COMPRA'!$B$11:$B$110,"&gt;="&amp;DATE(YEAR('CONFIGURACIÓN'!$B$7),10,1),'ÓRDENES-DE-COMPRA'!$B$11:$B$110,"&lt;"&amp;EDATE(DATE(YEAR('CONFIGURACIÓN'!$B$7),10,1),1),'ÓRDENES-DE-COMPRA'!$H$11:$H$110,"&lt;&gt;Cancelada")</x:f>
        <x:v>0</x:v>
      </x:c>
      <x:c r="G19" s="46" t="n">
        <x:f>COUNTIFS('ÓRDENES-DE-COMPRA'!$B$11:$B$110,"&gt;="&amp;DATE(YEAR('CONFIGURACIÓN'!$B$7),10,1),'ÓRDENES-DE-COMPRA'!$B$11:$B$110,"&lt;"&amp;EDATE(DATE(YEAR('CONFIGURACIÓN'!$B$7),10,1),1),'ÓRDENES-DE-COMPRA'!$H$11:$H$110,"Cancelada")</x:f>
        <x:v>0</x:v>
      </x:c>
    </x:row>
    <x:row r="20">
      <x:c r="A20" s="46" t="str">
        <x:f>"Nov "&amp;YEAR('CONFIGURACIÓN'!$B$7)</x:f>
        <x:v>Nov 2026</x:v>
      </x:c>
      <x:c r="B20" s="46" t="n">
        <x:f>COUNTIFS('ÓRDENES-DE-COMPRA'!$B$11:$B$110,"&gt;="&amp;DATE(YEAR('CONFIGURACIÓN'!$B$7),11,1),'ÓRDENES-DE-COMPRA'!$B$11:$B$110,"&lt;"&amp;EDATE(DATE(YEAR('CONFIGURACIÓN'!$B$7),11,1),1),'ÓRDENES-DE-COMPRA'!$H$11:$H$110,"&lt;&gt;Cancelada")</x:f>
        <x:v>0</x:v>
      </x:c>
      <x:c r="C20" s="59" t="n">
        <x:f>SUMIFS('ÓRDENES-DE-COMPRA'!$M$11:$M$110,'ÓRDENES-DE-COMPRA'!$B$11:$B$110,"&gt;="&amp;DATE(YEAR('CONFIGURACIÓN'!$B$7),11,1),'ÓRDENES-DE-COMPRA'!$B$11:$B$110,"&lt;"&amp;EDATE(DATE(YEAR('CONFIGURACIÓN'!$B$7),11,1),1),'ÓRDENES-DE-COMPRA'!$H$11:$H$110,"&lt;&gt;Cancelada")</x:f>
        <x:v>0</x:v>
      </x:c>
      <x:c r="D20" s="59" t="n">
        <x:f>SUMIFS('ÓRDENES-DE-COMPRA'!$O$11:$O$110,'ÓRDENES-DE-COMPRA'!$B$11:$B$110,"&gt;="&amp;DATE(YEAR('CONFIGURACIÓN'!$B$7),11,1),'ÓRDENES-DE-COMPRA'!$B$11:$B$110,"&lt;"&amp;EDATE(DATE(YEAR('CONFIGURACIÓN'!$B$7),11,1),1),'ÓRDENES-DE-COMPRA'!$H$11:$H$110,"&lt;&gt;Cancelada")</x:f>
        <x:v>0</x:v>
      </x:c>
      <x:c r="E20" s="59" t="n">
        <x:f>SUMIFS('LÍNEAS-DE-PEDIDO'!$N$11:$N$210,'LÍNEAS-DE-PEDIDO'!$I$11:$I$210,"&gt;="&amp;DATE(YEAR('CONFIGURACIÓN'!$B$7),11,1),'LÍNEAS-DE-PEDIDO'!$I$11:$I$210,"&lt;"&amp;EDATE(DATE(YEAR('CONFIGURACIÓN'!$B$7),11,1),1),'LÍNEAS-DE-PEDIDO'!$L$11:$L$210,"&lt;&gt;Cancelada")</x:f>
        <x:v>0</x:v>
      </x:c>
      <x:c r="F20" s="59" t="n">
        <x:f>SUMIFS('ÓRDENES-DE-COMPRA'!$Q$11:$Q$110,'ÓRDENES-DE-COMPRA'!$B$11:$B$110,"&gt;="&amp;DATE(YEAR('CONFIGURACIÓN'!$B$7),11,1),'ÓRDENES-DE-COMPRA'!$B$11:$B$110,"&lt;"&amp;EDATE(DATE(YEAR('CONFIGURACIÓN'!$B$7),11,1),1),'ÓRDENES-DE-COMPRA'!$H$11:$H$110,"&lt;&gt;Cancelada")</x:f>
        <x:v>0</x:v>
      </x:c>
      <x:c r="G20" s="46" t="n">
        <x:f>COUNTIFS('ÓRDENES-DE-COMPRA'!$B$11:$B$110,"&gt;="&amp;DATE(YEAR('CONFIGURACIÓN'!$B$7),11,1),'ÓRDENES-DE-COMPRA'!$B$11:$B$110,"&lt;"&amp;EDATE(DATE(YEAR('CONFIGURACIÓN'!$B$7),11,1),1),'ÓRDENES-DE-COMPRA'!$H$11:$H$110,"Cancelada")</x:f>
        <x:v>0</x:v>
      </x:c>
    </x:row>
    <x:row r="21">
      <x:c r="A21" s="46" t="str">
        <x:f>"Dic "&amp;YEAR('CONFIGURACIÓN'!$B$7)</x:f>
        <x:v>Dic 2026</x:v>
      </x:c>
      <x:c r="B21" s="46" t="n">
        <x:f>COUNTIFS('ÓRDENES-DE-COMPRA'!$B$11:$B$110,"&gt;="&amp;DATE(YEAR('CONFIGURACIÓN'!$B$7),12,1),'ÓRDENES-DE-COMPRA'!$B$11:$B$110,"&lt;"&amp;EDATE(DATE(YEAR('CONFIGURACIÓN'!$B$7),12,1),1),'ÓRDENES-DE-COMPRA'!$H$11:$H$110,"&lt;&gt;Cancelada")</x:f>
        <x:v>0</x:v>
      </x:c>
      <x:c r="C21" s="59" t="n">
        <x:f>SUMIFS('ÓRDENES-DE-COMPRA'!$M$11:$M$110,'ÓRDENES-DE-COMPRA'!$B$11:$B$110,"&gt;="&amp;DATE(YEAR('CONFIGURACIÓN'!$B$7),12,1),'ÓRDENES-DE-COMPRA'!$B$11:$B$110,"&lt;"&amp;EDATE(DATE(YEAR('CONFIGURACIÓN'!$B$7),12,1),1),'ÓRDENES-DE-COMPRA'!$H$11:$H$110,"&lt;&gt;Cancelada")</x:f>
        <x:v>0</x:v>
      </x:c>
      <x:c r="D21" s="59" t="n">
        <x:f>SUMIFS('ÓRDENES-DE-COMPRA'!$O$11:$O$110,'ÓRDENES-DE-COMPRA'!$B$11:$B$110,"&gt;="&amp;DATE(YEAR('CONFIGURACIÓN'!$B$7),12,1),'ÓRDENES-DE-COMPRA'!$B$11:$B$110,"&lt;"&amp;EDATE(DATE(YEAR('CONFIGURACIÓN'!$B$7),12,1),1),'ÓRDENES-DE-COMPRA'!$H$11:$H$110,"&lt;&gt;Cancelada")</x:f>
        <x:v>0</x:v>
      </x:c>
      <x:c r="E21" s="59" t="n">
        <x:f>SUMIFS('LÍNEAS-DE-PEDIDO'!$N$11:$N$210,'LÍNEAS-DE-PEDIDO'!$I$11:$I$210,"&gt;="&amp;DATE(YEAR('CONFIGURACIÓN'!$B$7),12,1),'LÍNEAS-DE-PEDIDO'!$I$11:$I$210,"&lt;"&amp;EDATE(DATE(YEAR('CONFIGURACIÓN'!$B$7),12,1),1),'LÍNEAS-DE-PEDIDO'!$L$11:$L$210,"&lt;&gt;Cancelada")</x:f>
        <x:v>0</x:v>
      </x:c>
      <x:c r="F21" s="59" t="n">
        <x:f>SUMIFS('ÓRDENES-DE-COMPRA'!$Q$11:$Q$110,'ÓRDENES-DE-COMPRA'!$B$11:$B$110,"&gt;="&amp;DATE(YEAR('CONFIGURACIÓN'!$B$7),12,1),'ÓRDENES-DE-COMPRA'!$B$11:$B$110,"&lt;"&amp;EDATE(DATE(YEAR('CONFIGURACIÓN'!$B$7),12,1),1),'ÓRDENES-DE-COMPRA'!$H$11:$H$110,"&lt;&gt;Cancelada")</x:f>
        <x:v>0</x:v>
      </x:c>
      <x:c r="G21" s="46" t="n">
        <x:f>COUNTIFS('ÓRDENES-DE-COMPRA'!$B$11:$B$110,"&gt;="&amp;DATE(YEAR('CONFIGURACIÓN'!$B$7),12,1),'ÓRDENES-DE-COMPRA'!$B$11:$B$110,"&lt;"&amp;EDATE(DATE(YEAR('CONFIGURACIÓN'!$B$7),12,1),1),'ÓRDENES-DE-COMPRA'!$H$11:$H$110,"Cancelada")</x:f>
        <x:v>0</x:v>
      </x:c>
    </x:row>
    <x:row r="22">
      <x:c r="A22" s="3"/>
      <x:c r="B22" s="3"/>
      <x:c r="C22" s="3"/>
      <x:c r="D22" s="3"/>
      <x:c r="E22" s="3"/>
      <x:c r="F22" s="3"/>
      <x:c r="G22" s="3"/>
    </x:row>
    <x:row r="23">
      <x:c r="A23" s="79" t="str">
        <x:v>TOTAL ANUAL</x:v>
      </x:c>
      <x:c r="B23" s="80" t="n">
        <x:f>SUM(B10:B21)</x:f>
        <x:v>7</x:v>
      </x:c>
      <x:c r="C23" s="79" t="n">
        <x:f>SUM(C10:C21)</x:f>
        <x:v>8890</x:v>
      </x:c>
      <x:c r="D23" s="79" t="n">
        <x:f>SUM(D10:D21)</x:f>
        <x:v>9584.5</x:v>
      </x:c>
      <x:c r="E23" s="79" t="n">
        <x:f>SUM(E10:E21)</x:f>
        <x:v>5220</x:v>
      </x:c>
      <x:c r="F23" s="79" t="n">
        <x:f>SUM(F10:F21)</x:f>
        <x:v>3670</x:v>
      </x:c>
      <x:c r="G23" s="80" t="n">
        <x:f>SUM(G10:G21)</x:f>
        <x:v>1</x:v>
      </x:c>
    </x:row>
    <x:row r="24">
      <x:c r="A24" s="3"/>
      <x:c r="B24" s="3"/>
      <x:c r="C24" s="3"/>
      <x:c r="D24" s="3"/>
      <x:c r="E24" s="3"/>
      <x:c r="F24" s="3"/>
      <x:c r="G24" s="3"/>
    </x:row>
  </x:sheetData>
  <x:mergeCells>
    <x:mergeCell ref="A1:G2"/>
    <x:mergeCell ref="A3:G3"/>
    <x:mergeCell ref="A5:G6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7" hidden="0" customWidth="1"/>
    <x:col min="3" max="3" width="3" hidden="0" customWidth="1"/>
    <x:col min="4" max="4" width="29" hidden="0" customWidth="1"/>
    <x:col min="5" max="5" width="21" hidden="0" customWidth="1"/>
    <x:col min="6" max="6" width="22" hidden="0" customWidth="1"/>
    <x:col min="7" max="7" width="3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26" customHeight="1">
      <x:c r="A1" s="5" t="str">
        <x:v>PANEL DE CONTROL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8" customHeight="1">
      <x:c r="A3" s="8" t="str">
        <x:v>Vista resumida de compromisos, avance de recepción, órdenes vencidas y exposición por proveedor.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83" t="str">
        <x:v>Órdenes de compra activas</x:v>
      </x:c>
      <x:c r="B5" s="84"/>
      <x:c r="C5" s="83" t="str">
        <x:v>Órdenes abiertas</x:v>
      </x:c>
      <x:c r="D5" s="84"/>
      <x:c r="E5" s="83" t="str">
        <x:v>Mercancía pedida</x:v>
      </x:c>
      <x:c r="F5" s="84"/>
      <x:c r="G5" s="83" t="str">
        <x:v>Valor recibido</x:v>
      </x:c>
      <x:c r="H5" s="84"/>
      <x:c r="I5" s="3"/>
      <x:c r="J5" s="3"/>
    </x:row>
    <x:row r="6">
      <x:c r="A6" s="94" t="n">
        <x:f>COUNTIFS('ÓRDENES-DE-COMPRA'!$A$11:$A$110,"&lt;&gt;",'ÓRDENES-DE-COMPRA'!$H$11:$H$110,"&lt;&gt;Cancelada")</x:f>
        <x:v>7</x:v>
      </x:c>
      <x:c r="B6" s="95"/>
      <x:c r="C6" s="94" t="n">
        <x:f>COUNTIFS('ÓRDENES-DE-COMPRA'!$A$11:$A$110,"&lt;&gt;",'ÓRDENES-DE-COMPRA'!$H$11:$H$110,"&lt;&gt;Cancelada",'ÓRDENES-DE-COMPRA'!$Q$11:$Q$110,"&gt;0")</x:f>
        <x:v>5</x:v>
      </x:c>
      <x:c r="D6" s="95"/>
      <x:c r="E6" s="102" t="n">
        <x:f>SUMIFS('ÓRDENES-DE-COMPRA'!$M$11:$M$110,'ÓRDENES-DE-COMPRA'!$H$11:$H$110,"&lt;&gt;Cancelada")</x:f>
        <x:v>8890</x:v>
      </x:c>
      <x:c r="F6" s="103"/>
      <x:c r="G6" s="102" t="n">
        <x:f>SUMIFS('ÓRDENES-DE-COMPRA'!$P$11:$P$110,'ÓRDENES-DE-COMPRA'!$H$11:$H$110,"&lt;&gt;Cancelada")</x:f>
        <x:v>5220</x:v>
      </x:c>
      <x:c r="H6" s="103"/>
      <x:c r="I6" s="3"/>
      <x:c r="J6" s="3"/>
    </x:row>
    <x:row r="7">
      <x:c r="A7" s="96"/>
      <x:c r="B7" s="97"/>
      <x:c r="C7" s="96"/>
      <x:c r="D7" s="97"/>
      <x:c r="E7" s="104"/>
      <x:c r="F7" s="105"/>
      <x:c r="G7" s="104"/>
      <x:c r="H7" s="105"/>
      <x:c r="I7" s="3"/>
      <x:c r="J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>
      <x:c r="A9" s="83" t="str">
        <x:v>Valor pendiente</x:v>
      </x:c>
      <x:c r="B9" s="84"/>
      <x:c r="C9" s="83" t="str">
        <x:v>Recepción completada</x:v>
      </x:c>
      <x:c r="D9" s="84"/>
      <x:c r="E9" s="83" t="str">
        <x:v>Órdenes vencidas</x:v>
      </x:c>
      <x:c r="F9" s="84"/>
      <x:c r="G9" s="83" t="str">
        <x:v>Líneas con exceso</x:v>
      </x:c>
      <x:c r="H9" s="84"/>
      <x:c r="I9" s="3"/>
      <x:c r="J9" s="3"/>
    </x:row>
    <x:row r="10">
      <x:c r="A10" s="102" t="n">
        <x:f>SUMIFS('ÓRDENES-DE-COMPRA'!$Q$11:$Q$110,'ÓRDENES-DE-COMPRA'!$H$11:$H$110,"&lt;&gt;Cancelada")</x:f>
        <x:v>3670</x:v>
      </x:c>
      <x:c r="B10" s="103"/>
      <x:c r="C10" s="110" t="n">
        <x:f>IF(E6=0,0,G6/E6)</x:f>
        <x:v>0.5871766029246345</x:v>
      </x:c>
      <x:c r="D10" s="111"/>
      <x:c r="E10" s="94" t="n">
        <x:f>COUNTIFS('ÓRDENES-DE-COMPRA'!$S$11:$S$110,"Vencida",'ÓRDENES-DE-COMPRA'!$H$11:$H$110,"&lt;&gt;Cancelada")</x:f>
        <x:v>4</x:v>
      </x:c>
      <x:c r="F10" s="95"/>
      <x:c r="G10" s="94" t="n">
        <x:f>COUNTIFS('LÍNEAS-DE-PEDIDO'!$Q$11:$Q$210,"Recepción excedida")</x:f>
        <x:v>1</x:v>
      </x:c>
      <x:c r="H10" s="95"/>
      <x:c r="I10" s="3"/>
      <x:c r="J10" s="3"/>
    </x:row>
    <x:row r="11">
      <x:c r="A11" s="104"/>
      <x:c r="B11" s="105"/>
      <x:c r="C11" s="112"/>
      <x:c r="D11" s="113"/>
      <x:c r="E11" s="96"/>
      <x:c r="F11" s="97"/>
      <x:c r="G11" s="96"/>
      <x:c r="H11" s="97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57" t="str">
        <x:v>Estado de entrega</x:v>
      </x:c>
      <x:c r="B15" s="57" t="str">
        <x:v>Órdenes</x:v>
      </x:c>
      <x:c r="C15" s="3"/>
      <x:c r="D15" s="57" t="str">
        <x:v>Proveedor</x:v>
      </x:c>
      <x:c r="E15" s="57" t="str">
        <x:v>Valor pedido</x:v>
      </x:c>
      <x:c r="F15" s="57" t="str">
        <x:v>Valor pendiente</x:v>
      </x:c>
      <x:c r="G15" s="3"/>
      <x:c r="H15" s="123" t="str">
        <x:f>"Órdenes vencidas para revisar: "&amp;E10&amp;"; líneas con recepción excedida: "&amp;G10&amp;". Investigue las excepciones antes de aprobar nuevas acciones."</x:f>
        <x:v>Órdenes vencidas para revisar: 4; líneas con recepción excedida: 1. Investigue las excepciones antes de aprobar nuevas acciones.</x:v>
      </x:c>
      <x:c r="I15" s="124"/>
      <x:c r="J15" s="125"/>
    </x:row>
    <x:row r="16">
      <x:c r="A16" s="47" t="str">
        <x:v>Sin líneas</x:v>
      </x:c>
      <x:c r="B16" s="47" t="n">
        <x:f>COUNTIFS('ÓRDENES-DE-COMPRA'!$S$11:$S$110,A16,'ÓRDENES-DE-COMPRA'!$A$11:$A$110,"&lt;&gt;")</x:f>
        <x:v>0</x:v>
      </x:c>
      <x:c r="C16" s="3"/>
      <x:c r="D16" s="46" t="str">
        <x:v>Suministros Oficina Metro</x:v>
      </x:c>
      <x:c r="E16" s="59" t="n">
        <x:f>SUMIFS('ÓRDENES-DE-COMPRA'!$M$11:$M$110,'ÓRDENES-DE-COMPRA'!$C$11:$C$110,D16,'ÓRDENES-DE-COMPRA'!$H$11:$H$110,"&lt;&gt;Cancelada")</x:f>
        <x:v>2330</x:v>
      </x:c>
      <x:c r="F16" s="59" t="n">
        <x:f>SUMIFS('ÓRDENES-DE-COMPRA'!$Q$11:$Q$110,'ÓRDENES-DE-COMPRA'!$C$11:$C$110,D16,'ÓRDENES-DE-COMPRA'!$H$11:$H$110,"&lt;&gt;Cancelada")</x:f>
        <x:v>360</x:v>
      </x:c>
      <x:c r="G16" s="3"/>
      <x:c r="H16" s="126"/>
      <x:c r="I16" s="127"/>
      <x:c r="J16" s="128"/>
    </x:row>
    <x:row r="17">
      <x:c r="A17" s="47" t="str">
        <x:v>Cancelada</x:v>
      </x:c>
      <x:c r="B17" s="47" t="n">
        <x:f>COUNTIFS('ÓRDENES-DE-COMPRA'!$S$11:$S$110,A17,'ÓRDENES-DE-COMPRA'!$A$11:$A$110,"&lt;&gt;")</x:f>
        <x:v>1</x:v>
      </x:c>
      <x:c r="C17" s="3"/>
      <x:c r="D17" s="46" t="str">
        <x:v>Embalajes del Golfo</x:v>
      </x:c>
      <x:c r="E17" s="59" t="n">
        <x:f>SUMIFS('ÓRDENES-DE-COMPRA'!$M$11:$M$110,'ÓRDENES-DE-COMPRA'!$C$11:$C$110,D17,'ÓRDENES-DE-COMPRA'!$H$11:$H$110,"&lt;&gt;Cancelada")</x:f>
        <x:v>2160</x:v>
      </x:c>
      <x:c r="F17" s="59" t="n">
        <x:f>SUMIFS('ÓRDENES-DE-COMPRA'!$Q$11:$Q$110,'ÓRDENES-DE-COMPRA'!$C$11:$C$110,D17,'ÓRDENES-DE-COMPRA'!$H$11:$H$110,"&lt;&gt;Cancelada")</x:f>
        <x:v>1440</x:v>
      </x:c>
      <x:c r="G17" s="3"/>
      <x:c r="H17" s="126"/>
      <x:c r="I17" s="127"/>
      <x:c r="J17" s="128"/>
    </x:row>
    <x:row r="18">
      <x:c r="A18" s="47" t="str">
        <x:v>Completa</x:v>
      </x:c>
      <x:c r="B18" s="47" t="n">
        <x:f>COUNTIFS('ÓRDENES-DE-COMPRA'!$S$11:$S$110,A18,'ÓRDENES-DE-COMPRA'!$A$11:$A$110,"&lt;&gt;")</x:f>
        <x:v>2</x:v>
      </x:c>
      <x:c r="C18" s="3"/>
      <x:c r="D18" s="46" t="str">
        <x:v>Tecnología Brillante</x:v>
      </x:c>
      <x:c r="E18" s="59" t="n">
        <x:f>SUMIFS('ÓRDENES-DE-COMPRA'!$M$11:$M$110,'ÓRDENES-DE-COMPRA'!$C$11:$C$110,D18,'ÓRDENES-DE-COMPRA'!$H$11:$H$110,"&lt;&gt;Cancelada")</x:f>
        <x:v>1870</x:v>
      </x:c>
      <x:c r="F18" s="59" t="n">
        <x:f>SUMIFS('ÓRDENES-DE-COMPRA'!$Q$11:$Q$110,'ÓRDENES-DE-COMPRA'!$C$11:$C$110,D18,'ÓRDENES-DE-COMPRA'!$H$11:$H$110,"&lt;&gt;Cancelada")</x:f>
        <x:v>0</x:v>
      </x:c>
      <x:c r="G18" s="3"/>
      <x:c r="H18" s="126"/>
      <x:c r="I18" s="127"/>
      <x:c r="J18" s="128"/>
    </x:row>
    <x:row r="19">
      <x:c r="A19" s="47" t="str">
        <x:v>Vencida</x:v>
      </x:c>
      <x:c r="B19" s="47" t="n">
        <x:f>COUNTIFS('ÓRDENES-DE-COMPRA'!$S$11:$S$110,A19,'ÓRDENES-DE-COMPRA'!$A$11:$A$110,"&lt;&gt;")</x:f>
        <x:v>4</x:v>
      </x:c>
      <x:c r="C19" s="3"/>
      <x:c r="D19" s="46" t="str">
        <x:v>Mayorista LimpioPro</x:v>
      </x:c>
      <x:c r="E19" s="59" t="n">
        <x:f>SUMIFS('ÓRDENES-DE-COMPRA'!$M$11:$M$110,'ÓRDENES-DE-COMPRA'!$C$11:$C$110,D19,'ÓRDENES-DE-COMPRA'!$H$11:$H$110,"&lt;&gt;Cancelada")</x:f>
        <x:v>940</x:v>
      </x:c>
      <x:c r="F19" s="59" t="n">
        <x:f>SUMIFS('ÓRDENES-DE-COMPRA'!$Q$11:$Q$110,'ÓRDENES-DE-COMPRA'!$C$11:$C$110,D19,'ÓRDENES-DE-COMPRA'!$H$11:$H$110,"&lt;&gt;Cancelada")</x:f>
        <x:v>280</x:v>
      </x:c>
      <x:c r="G19" s="3"/>
      <x:c r="H19" s="126"/>
      <x:c r="I19" s="127"/>
      <x:c r="J19" s="128"/>
    </x:row>
    <x:row r="20">
      <x:c r="A20" s="47" t="str">
        <x:v>Próxima a vencer</x:v>
      </x:c>
      <x:c r="B20" s="47" t="n">
        <x:f>COUNTIFS('ÓRDENES-DE-COMPRA'!$S$11:$S$110,A20,'ÓRDENES-DE-COMPRA'!$A$11:$A$110,"&lt;&gt;")</x:f>
        <x:v>0</x:v>
      </x:c>
      <x:c r="C20" s="3"/>
      <x:c r="D20" s="46" t="str">
        <x:v>Alimentos del Desierto</x:v>
      </x:c>
      <x:c r="E20" s="59" t="n">
        <x:f>SUMIFS('ÓRDENES-DE-COMPRA'!$M$11:$M$110,'ÓRDENES-DE-COMPRA'!$C$11:$C$110,D20,'ÓRDENES-DE-COMPRA'!$H$11:$H$110,"&lt;&gt;Cancelada")</x:f>
        <x:v>0</x:v>
      </x:c>
      <x:c r="F20" s="59" t="n">
        <x:f>SUMIFS('ÓRDENES-DE-COMPRA'!$Q$11:$Q$110,'ÓRDENES-DE-COMPRA'!$C$11:$C$110,D20,'ÓRDENES-DE-COMPRA'!$H$11:$H$110,"&lt;&gt;Cancelada")</x:f>
        <x:v>0</x:v>
      </x:c>
      <x:c r="G20" s="3"/>
      <x:c r="H20" s="126"/>
      <x:c r="I20" s="127"/>
      <x:c r="J20" s="128"/>
    </x:row>
    <x:row r="21">
      <x:c r="A21" s="47" t="str">
        <x:v>Abierta</x:v>
      </x:c>
      <x:c r="B21" s="47" t="n">
        <x:f>COUNTIFS('ÓRDENES-DE-COMPRA'!$S$11:$S$110,A21,'ÓRDENES-DE-COMPRA'!$A$11:$A$110,"&lt;&gt;")</x:f>
        <x:v>1</x:v>
      </x:c>
      <x:c r="C21" s="3"/>
      <x:c r="D21" s="46" t="str">
        <x:v>Equipos Trabajo Seguro</x:v>
      </x:c>
      <x:c r="E21" s="59" t="n">
        <x:f>SUMIFS('ÓRDENES-DE-COMPRA'!$M$11:$M$110,'ÓRDENES-DE-COMPRA'!$C$11:$C$110,D21,'ÓRDENES-DE-COMPRA'!$H$11:$H$110,"&lt;&gt;Cancelada")</x:f>
        <x:v>1590</x:v>
      </x:c>
      <x:c r="F21" s="59" t="n">
        <x:f>SUMIFS('ÓRDENES-DE-COMPRA'!$Q$11:$Q$110,'ÓRDENES-DE-COMPRA'!$C$11:$C$110,D21,'ÓRDENES-DE-COMPRA'!$H$11:$H$110,"&lt;&gt;Cancelada")</x:f>
        <x:v>1590</x:v>
      </x:c>
      <x:c r="G21" s="3"/>
      <x:c r="H21" s="129"/>
      <x:c r="I21" s="130"/>
      <x:c r="J21" s="131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H15:J21"/>
  </x:mergeCells>
  <x:conditionalFormatting sqref="A16:A21">
    <x:cfRule type="containsText" dxfId="16" priority="1" operator="containsText" text="Completa"/>
    <x:cfRule type="containsText" dxfId="17" priority="2" operator="containsText" text="Vencida"/>
    <x:cfRule type="containsText" dxfId="18" priority="3" operator="containsText" text="Próxima a vencer"/>
    <x:cfRule type="containsText" dxfId="19" priority="4" operator="containsText" text="Cancelada"/>
  </x:conditionalFormatting>
  <x:pageMargins left="0.7" right="0.7" top="0.75" bottom="0.75" header="0.3" footer="0.3"/>
  <x:drawing xmlns:r="http://schemas.openxmlformats.org/officeDocument/2006/relationships" r:id="R84693abb2ff9424b"/>
</x:worksheet>
</file>