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86d4edc7d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ME" sheetId="1" r:id="Rd3be656724524c3b"/>
    <x:sheet xmlns:r="http://schemas.openxmlformats.org/officeDocument/2006/relationships" name="SETUP" sheetId="2" r:id="Rc5ec626d7dc94196"/>
    <x:sheet xmlns:r="http://schemas.openxmlformats.org/officeDocument/2006/relationships" name="EMPLOYEES" sheetId="3" r:id="R83f856e4f681477d"/>
    <x:sheet xmlns:r="http://schemas.openxmlformats.org/officeDocument/2006/relationships" name="REQUESTS" sheetId="4" r:id="Rd693b4ed393d416f"/>
    <x:sheet xmlns:r="http://schemas.openxmlformats.org/officeDocument/2006/relationships" name="BALANCES" sheetId="5" r:id="R767d1ee864794e04"/>
    <x:sheet xmlns:r="http://schemas.openxmlformats.org/officeDocument/2006/relationships" name="CALENDAR" sheetId="6" r:id="Red82cf4024da4ec4"/>
    <x:sheet xmlns:r="http://schemas.openxmlformats.org/officeDocument/2006/relationships" name="COVERAGE" sheetId="7" r:id="R8b788c365ef7439f"/>
    <x:sheet xmlns:r="http://schemas.openxmlformats.org/officeDocument/2006/relationships" name="DASHBOARD" sheetId="8" r:id="Rbe0ba4c207fd4ebb"/>
    <x:sheet xmlns:r="http://schemas.openxmlformats.org/officeDocument/2006/relationships" name="AUDIT" sheetId="9" r:id="R7cfd3b1152464f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#,##0.0;[Red](#,##0.0);-"/>
    <x:numFmt numFmtId="202" formatCode=";;;"/>
    <x:numFmt numFmtId="203" formatCode="0%;[Red](0%);-"/>
    <x:numFmt numFmtId="204" formatCode="#,##0;[Red](#,##0);-"/>
  </x:numFmts>
  <x:fonts count="12">
    <x:font>
      <x:sz val="11"/>
      <x:name val="Carlito"/>
    </x:font>
    <x:font>
      <x:sz val="9"/>
      <x:color rgb="FF26332F"/>
      <x:name val="Arial"/>
    </x:font>
    <x:font>
      <x:b/>
      <x:sz val="9"/>
      <x:color rgb="FFFFFFFF"/>
      <x:name val="Arial"/>
    </x:font>
    <x:font>
      <x:b/>
      <x:sz val="8"/>
      <x:color rgb="FFFFFFFF"/>
      <x:name val="Arial"/>
    </x:font>
    <x:font>
      <x:b/>
      <x:sz val="18"/>
      <x:color rgb="FF0B2B24"/>
      <x:name val="Arial"/>
    </x:font>
    <x:font>
      <x:sz val="9"/>
      <x:color rgb="FF65736D"/>
      <x:name val="Arial"/>
    </x:font>
    <x:font>
      <x:b/>
      <x:sz val="9"/>
      <x:color rgb="FF0B2B24"/>
      <x:name val="Arial"/>
    </x:font>
    <x:font>
      <x:b/>
      <x:sz val="9"/>
      <x:color rgb="FF6F4B13"/>
      <x:name val="Arial"/>
    </x:font>
    <x:font>
      <x:b/>
      <x:sz val="9"/>
      <x:color rgb="FF1F6B55"/>
      <x:name val="Arial"/>
    </x:font>
    <x:font>
      <x:b/>
      <x:sz val="9"/>
      <x:color rgb="FFB88935"/>
      <x:name val="Arial"/>
    </x:font>
    <x:font>
      <x:b/>
      <x:sz val="9"/>
      <x:color rgb="FF123B32"/>
      <x:name val="Arial"/>
    </x:font>
    <x:font>
      <x:b/>
      <x:sz val="9"/>
      <x:color rgb="FFB64B4B"/>
      <x:name val="Arial"/>
    </x:font>
  </x:fonts>
  <x:fills count="16">
    <x:fill>
      <x:patternFill patternType="none"/>
    </x:fill>
    <x:fill>
      <x:patternFill patternType="gray125"/>
    </x:fill>
    <x:fill>
      <x:patternFill patternType="solid">
        <x:fgColor rgb="FFFFFEFA"/>
      </x:patternFill>
    </x:fill>
    <x:fill>
      <x:patternFill patternType="solid">
        <x:fgColor rgb="FF0B2B24"/>
      </x:patternFill>
    </x:fill>
    <x:fill>
      <x:patternFill patternType="solid">
        <x:fgColor rgb="FF1F6B55"/>
      </x:patternFill>
    </x:fill>
    <x:fill>
      <x:patternFill patternType="solid">
        <x:fgColor rgb="FFF7F3EA"/>
      </x:patternFill>
    </x:fill>
    <x:fill>
      <x:patternFill patternType="solid">
        <x:fgColor rgb="FF123B32"/>
      </x:patternFill>
    </x:fill>
    <x:fill>
      <x:patternFill patternType="solid">
        <x:fgColor rgb="FFEEE6D7"/>
      </x:patternFill>
    </x:fill>
    <x:fill>
      <x:patternFill patternType="solid">
        <x:fgColor rgb="FFFFF4CF"/>
      </x:patternFill>
    </x:fill>
    <x:fill>
      <x:patternFill patternType="solid">
        <x:fgColor rgb="FFFFF0D6"/>
      </x:patternFill>
    </x:fill>
    <x:fill>
      <x:patternFill patternType="solid">
        <x:fgColor rgb="FFEEF3F0"/>
      </x:patternFill>
    </x:fill>
    <x:fill>
      <x:patternFill patternType="solid">
        <x:fgColor rgb="FFB88935"/>
      </x:patternFill>
    </x:fill>
    <x:fill>
      <x:patternFill patternType="solid">
        <x:fgColor rgb="FFFFFFFF"/>
      </x:patternFill>
    </x:fill>
    <x:fill>
      <x:patternFill patternType="solid">
        <x:fgColor rgb="FFB64B4B"/>
      </x:patternFill>
    </x:fill>
    <x:fill>
      <x:patternFill patternType="solid">
        <x:fgColor rgb="FFE8F2ED"/>
      </x:patternFill>
    </x:fill>
    <x:fill>
      <x:patternFill patternType="solid">
        <x:fgColor rgb="FFF9E4E1"/>
      </x:patternFill>
    </x:fill>
  </x:fills>
  <x:borders count="44">
    <x:border>
      <x:left/>
      <x:right/>
      <x:top/>
      <x:bottom/>
      <x:diagonal/>
    </x:border>
    <x:border>
      <x:left/>
      <x:right style="thin">
        <x:color rgb="FF315148"/>
      </x:right>
      <x:top/>
      <x:bottom/>
      <x:diagonal/>
    </x:border>
    <x:border>
      <x:left/>
      <x:right/>
      <x:top/>
      <x:bottom style="medium">
        <x:color rgb="FF1F6B55"/>
      </x:bottom>
      <x:diagonal/>
    </x:border>
    <x:border>
      <x:left/>
      <x:right/>
      <x:top/>
      <x:bottom style="thin">
        <x:color rgb="FFD8D3C7"/>
      </x:bottom>
      <x:diagonal/>
    </x:border>
    <x:border>
      <x:left style="thin">
        <x:color rgb="FFD8D3C7"/>
      </x:left>
      <x:right style="thin">
        <x:color rgb="FFD8D3C7"/>
      </x:right>
      <x:top style="thin">
        <x:color rgb="FFD8D3C7"/>
      </x:top>
      <x:bottom style="thin">
        <x:color rgb="FFD8D3C7"/>
      </x:bottom>
      <x:diagonal/>
    </x:border>
    <x:border>
      <x:left style="thin">
        <x:color rgb="FFB88935"/>
      </x:left>
      <x:right/>
      <x:top style="thin">
        <x:color rgb="FFB88935"/>
      </x:top>
      <x:bottom/>
      <x:diagonal/>
    </x:border>
    <x:border>
      <x:left/>
      <x:right/>
      <x:top style="thin">
        <x:color rgb="FFB88935"/>
      </x:top>
      <x:bottom/>
      <x:diagonal/>
    </x:border>
    <x:border>
      <x:left/>
      <x:right style="thin">
        <x:color rgb="FFB88935"/>
      </x:right>
      <x:top style="thin">
        <x:color rgb="FFB88935"/>
      </x:top>
      <x:bottom/>
      <x:diagonal/>
    </x:border>
    <x:border>
      <x:left style="thin">
        <x:color rgb="FFB88935"/>
      </x:left>
      <x:right/>
      <x:top/>
      <x:bottom/>
      <x:diagonal/>
    </x:border>
    <x:border>
      <x:left/>
      <x:right style="thin">
        <x:color rgb="FFB88935"/>
      </x:right>
      <x:top/>
      <x:bottom/>
      <x:diagonal/>
    </x:border>
    <x:border>
      <x:left style="thin">
        <x:color rgb="FFB88935"/>
      </x:left>
      <x:right/>
      <x:top/>
      <x:bottom style="thin">
        <x:color rgb="FFB88935"/>
      </x:bottom>
      <x:diagonal/>
    </x:border>
    <x:border>
      <x:left/>
      <x:right/>
      <x:top/>
      <x:bottom style="thin">
        <x:color rgb="FFB88935"/>
      </x:bottom>
      <x:diagonal/>
    </x:border>
    <x:border>
      <x:left/>
      <x:right style="thin">
        <x:color rgb="FFB88935"/>
      </x:right>
      <x:top/>
      <x:bottom style="thin">
        <x:color rgb="FFB88935"/>
      </x:bottom>
      <x:diagonal/>
    </x:border>
    <x:border>
      <x:left style="thin">
        <x:color rgb="FFD8D3C7"/>
      </x:left>
      <x:right/>
      <x:top style="thin">
        <x:color rgb="FFD8D3C7"/>
      </x:top>
      <x:bottom/>
      <x:diagonal/>
    </x:border>
    <x:border>
      <x:left/>
      <x:right/>
      <x:top style="thin">
        <x:color rgb="FFD8D3C7"/>
      </x:top>
      <x:bottom/>
      <x:diagonal/>
    </x:border>
    <x:border>
      <x:left/>
      <x:right style="thin">
        <x:color rgb="FFD8D3C7"/>
      </x:right>
      <x:top style="thin">
        <x:color rgb="FFD8D3C7"/>
      </x:top>
      <x:bottom/>
      <x:diagonal/>
    </x:border>
    <x:border>
      <x:left style="thin">
        <x:color rgb="FFD8D3C7"/>
      </x:left>
      <x:right/>
      <x:top/>
      <x:bottom/>
      <x:diagonal/>
    </x:border>
    <x:border>
      <x:left/>
      <x:right style="thin">
        <x:color rgb="FFD8D3C7"/>
      </x:right>
      <x:top/>
      <x:bottom/>
      <x:diagonal/>
    </x:border>
    <x:border>
      <x:left style="thin">
        <x:color rgb="FFD8D3C7"/>
      </x:left>
      <x:right/>
      <x:top/>
      <x:bottom style="thin">
        <x:color rgb="FFD8D3C7"/>
      </x:bottom>
      <x:diagonal/>
    </x:border>
    <x:border>
      <x:left/>
      <x:right style="thin">
        <x:color rgb="FFD8D3C7"/>
      </x:right>
      <x:top/>
      <x:bottom style="thin">
        <x:color rgb="FFD8D3C7"/>
      </x:bottom>
      <x:diagonal/>
    </x:border>
    <x:border>
      <x:left style="thin">
        <x:color rgb="FF1F6B55"/>
      </x:left>
      <x:right/>
      <x:top style="thin">
        <x:color rgb="FF1F6B55"/>
      </x:top>
      <x:bottom/>
      <x:diagonal/>
    </x:border>
    <x:border>
      <x:left/>
      <x:right/>
      <x:top style="thin">
        <x:color rgb="FF1F6B55"/>
      </x:top>
      <x:bottom/>
      <x:diagonal/>
    </x:border>
    <x:border>
      <x:left/>
      <x:right style="thin">
        <x:color rgb="FF1F6B55"/>
      </x:right>
      <x:top style="thin">
        <x:color rgb="FF1F6B55"/>
      </x:top>
      <x:bottom/>
      <x:diagonal/>
    </x:border>
    <x:border>
      <x:left style="thin">
        <x:color rgb="FF1F6B55"/>
      </x:left>
      <x:right/>
      <x:top/>
      <x:bottom/>
      <x:diagonal/>
    </x:border>
    <x:border>
      <x:left/>
      <x:right style="thin">
        <x:color rgb="FF1F6B55"/>
      </x:right>
      <x:top/>
      <x:bottom/>
      <x:diagonal/>
    </x:border>
    <x:border>
      <x:left style="thin">
        <x:color rgb="FF1F6B55"/>
      </x:left>
      <x:right/>
      <x:top/>
      <x:bottom style="thin">
        <x:color rgb="FF1F6B55"/>
      </x:bottom>
      <x:diagonal/>
    </x:border>
    <x:border>
      <x:left/>
      <x:right/>
      <x:top/>
      <x:bottom style="thin">
        <x:color rgb="FF1F6B55"/>
      </x:bottom>
      <x:diagonal/>
    </x:border>
    <x:border>
      <x:left/>
      <x:right style="thin">
        <x:color rgb="FF1F6B55"/>
      </x:right>
      <x:top/>
      <x:bottom style="thin">
        <x:color rgb="FF1F6B55"/>
      </x:bottom>
      <x:diagonal/>
    </x:border>
    <x:border>
      <x:left style="thin">
        <x:color rgb="FF123B32"/>
      </x:left>
      <x:right/>
      <x:top style="thin">
        <x:color rgb="FF123B32"/>
      </x:top>
      <x:bottom/>
      <x:diagonal/>
    </x:border>
    <x:border>
      <x:left/>
      <x:right/>
      <x:top style="thin">
        <x:color rgb="FF123B32"/>
      </x:top>
      <x:bottom/>
      <x:diagonal/>
    </x:border>
    <x:border>
      <x:left/>
      <x:right style="thin">
        <x:color rgb="FF123B32"/>
      </x:right>
      <x:top style="thin">
        <x:color rgb="FF123B32"/>
      </x:top>
      <x:bottom/>
      <x:diagonal/>
    </x:border>
    <x:border>
      <x:left style="thin">
        <x:color rgb="FF123B32"/>
      </x:left>
      <x:right/>
      <x:top/>
      <x:bottom/>
      <x:diagonal/>
    </x:border>
    <x:border>
      <x:left/>
      <x:right style="thin">
        <x:color rgb="FF123B32"/>
      </x:right>
      <x:top/>
      <x:bottom/>
      <x:diagonal/>
    </x:border>
    <x:border>
      <x:left style="thin">
        <x:color rgb="FF123B32"/>
      </x:left>
      <x:right/>
      <x:top/>
      <x:bottom style="thin">
        <x:color rgb="FF123B32"/>
      </x:bottom>
      <x:diagonal/>
    </x:border>
    <x:border>
      <x:left/>
      <x:right/>
      <x:top/>
      <x:bottom style="thin">
        <x:color rgb="FF123B32"/>
      </x:bottom>
      <x:diagonal/>
    </x:border>
    <x:border>
      <x:left/>
      <x:right style="thin">
        <x:color rgb="FF123B32"/>
      </x:right>
      <x:top/>
      <x:bottom style="thin">
        <x:color rgb="FF123B32"/>
      </x:bottom>
      <x:diagonal/>
    </x:border>
    <x:border>
      <x:left style="thin">
        <x:color rgb="FFB64B4B"/>
      </x:left>
      <x:right/>
      <x:top style="thin">
        <x:color rgb="FFB64B4B"/>
      </x:top>
      <x:bottom/>
      <x:diagonal/>
    </x:border>
    <x:border>
      <x:left/>
      <x:right/>
      <x:top style="thin">
        <x:color rgb="FFB64B4B"/>
      </x:top>
      <x:bottom/>
      <x:diagonal/>
    </x:border>
    <x:border>
      <x:left/>
      <x:right style="thin">
        <x:color rgb="FFB64B4B"/>
      </x:right>
      <x:top style="thin">
        <x:color rgb="FFB64B4B"/>
      </x:top>
      <x:bottom/>
      <x:diagonal/>
    </x:border>
    <x:border>
      <x:left style="thin">
        <x:color rgb="FFB64B4B"/>
      </x:left>
      <x:right/>
      <x:top/>
      <x:bottom/>
      <x:diagonal/>
    </x:border>
    <x:border>
      <x:left/>
      <x:right style="thin">
        <x:color rgb="FFB64B4B"/>
      </x:right>
      <x:top/>
      <x:bottom/>
      <x:diagonal/>
    </x:border>
    <x:border>
      <x:left style="thin">
        <x:color rgb="FFB64B4B"/>
      </x:left>
      <x:right/>
      <x:top/>
      <x:bottom style="thin">
        <x:color rgb="FFB64B4B"/>
      </x:bottom>
      <x:diagonal/>
    </x:border>
    <x:border>
      <x:left/>
      <x:right/>
      <x:top/>
      <x:bottom style="thin">
        <x:color rgb="FFB64B4B"/>
      </x:bottom>
      <x:diagonal/>
    </x:border>
    <x:border>
      <x:left/>
      <x:right style="thin">
        <x:color rgb="FFB64B4B"/>
      </x:right>
      <x:top/>
      <x:bottom style="thin">
        <x:color rgb="FFB64B4B"/>
      </x:bottom>
      <x:diagonal/>
    </x:border>
  </x:borders>
  <x:cellStyleXfs count="1">
    <x:xf numFmtId="0" fontId="0" fillId="0" borderId="0"/>
  </x:cellStyleXfs>
  <x:cellXfs count="20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2" fillId="3" borderId="0" xfId="0" applyNumberFormat="1" applyFont="1" applyFill="1" applyBorder="1" applyAlignment="1">
      <x:alignment horizontal="left" vertical="center"/>
    </x:xf>
    <x:xf numFmtId="0" fontId="2" fillId="4" borderId="0" xfId="0" applyNumberFormat="1" applyFont="1" applyFill="1" applyBorder="1" applyAlignment="1">
      <x:alignment horizontal="left" vertical="center"/>
    </x:xf>
    <x:xf numFmtId="0" fontId="2" fillId="4" borderId="1" xfId="0" applyNumberFormat="1" applyFont="1" applyFill="1" applyBorder="1" applyAlignment="1">
      <x:alignment horizontal="left" vertic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2" fillId="4" borderId="1" xfId="0" applyNumberFormat="1" applyFont="1" applyFill="1" applyBorder="1" applyAlignment="1">
      <x:alignment horizontal="center" vertical="center"/>
    </x:xf>
    <x:xf numFmtId="0" fontId="2" fillId="3" borderId="1" xfId="0" applyNumberFormat="1" applyFont="1" applyFill="1" applyBorder="1" applyAlignment="1">
      <x:alignment horizontal="left"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left" vertical="center"/>
    </x:xf>
    <x:xf numFmtId="0" fontId="3" fillId="4" borderId="0" xfId="0" applyNumberFormat="1" applyFont="1" applyFill="1" applyBorder="1" applyAlignment="1">
      <x:alignment horizontal="left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4" fillId="5" borderId="0" xfId="0" applyNumberFormat="1" applyFont="1" applyFill="1" applyBorder="1" applyAlignment="1">
      <x:alignment horizontal="left" vertical="center"/>
    </x:xf>
    <x:xf numFmtId="0" fontId="4" fillId="5" borderId="2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 applyAlignment="1">
      <x:alignment horizontal="left" vertical="center" wrapText="1"/>
    </x:xf>
    <x:xf numFmtId="0" fontId="1" fillId="6" borderId="0" xfId="0" applyNumberFormat="1" applyFont="1" applyFill="1" applyBorder="1" applyAlignment="1">
      <x:alignment horizontal="left" vertical="center"/>
    </x:xf>
    <x:xf numFmtId="0" fontId="2" fillId="6" borderId="0" xfId="0" applyNumberFormat="1" applyFont="1" applyFill="1" applyBorder="1" applyAlignment="1">
      <x:alignment horizontal="left" vertical="center"/>
    </x:xf>
    <x:xf numFmtId="0" fontId="1" fillId="7" borderId="0" xfId="0" applyNumberFormat="1" applyFont="1" applyFill="1" applyBorder="1" applyAlignment="1">
      <x:alignment horizontal="left" vertical="center"/>
    </x:xf>
    <x:xf numFmtId="0" fontId="6" fillId="7" borderId="0" xfId="0" applyNumberFormat="1" applyFont="1" applyFill="1" applyBorder="1" applyAlignment="1">
      <x:alignment horizontal="left" vertical="center"/>
    </x:xf>
    <x:xf numFmtId="0" fontId="6" fillId="7" borderId="3" xfId="0" applyNumberFormat="1" applyFont="1" applyFill="1" applyBorder="1" applyAlignment="1">
      <x:alignment horizontal="left" vertical="center"/>
    </x:xf>
    <x:xf numFmtId="0" fontId="1" fillId="8" borderId="0" xfId="0" applyNumberFormat="1" applyFont="1" applyFill="1" applyBorder="1" applyAlignment="1">
      <x:alignment horizontal="left" vertical="center"/>
    </x:xf>
    <x:xf numFmtId="0" fontId="1" fillId="8" borderId="3" xfId="0" applyNumberFormat="1" applyFont="1" applyFill="1" applyBorder="1" applyAlignment="1">
      <x:alignment horizontal="left" vertical="center"/>
    </x:xf>
    <x:xf numFmtId="200" fontId="1" fillId="8" borderId="0" xfId="0" applyNumberFormat="1" applyFont="1" applyFill="1" applyBorder="1" applyAlignment="1">
      <x:alignment horizontal="left" vertical="center"/>
    </x:xf>
    <x:xf numFmtId="201" fontId="1" fillId="8" borderId="0" xfId="0" applyNumberFormat="1" applyFont="1" applyFill="1" applyBorder="1" applyAlignment="1">
      <x:alignment horizontal="left" vertical="center"/>
    </x:xf>
    <x:xf numFmtId="0" fontId="3" fillId="6" borderId="0" xfId="0" applyNumberFormat="1" applyFont="1" applyFill="1" applyBorder="1" applyAlignment="1">
      <x:alignment horizontal="left" vertical="center"/>
    </x:xf>
    <x:xf numFmtId="0" fontId="3" fillId="6" borderId="4" xfId="0" applyNumberFormat="1" applyFont="1" applyFill="1" applyBorder="1" applyAlignment="1">
      <x:alignment horizontal="left" vertical="center"/>
    </x:xf>
    <x:xf numFmtId="0" fontId="3" fillId="6" borderId="4" xfId="0" applyNumberFormat="1" applyFont="1" applyFill="1" applyBorder="1" applyAlignment="1">
      <x:alignment horizontal="left" vertical="center" wrapText="1"/>
    </x:xf>
    <x:xf numFmtId="0" fontId="3" fillId="6" borderId="4" xfId="0" applyNumberFormat="1" applyFont="1" applyFill="1" applyBorder="1" applyAlignment="1">
      <x:alignment horizontal="center" vertical="center" wrapText="1"/>
    </x:xf>
    <x:xf numFmtId="201" fontId="1" fillId="8" borderId="3" xfId="0" applyNumberFormat="1" applyFont="1" applyFill="1" applyBorder="1" applyAlignment="1">
      <x:alignment horizontal="left" vertical="center"/>
    </x:xf>
    <x:xf numFmtId="0" fontId="1" fillId="9" borderId="0" xfId="0" applyNumberFormat="1" applyFont="1" applyFill="1" applyBorder="1" applyAlignment="1">
      <x:alignment horizontal="left" vertical="center"/>
    </x:xf>
    <x:xf numFmtId="0" fontId="7" fillId="9" borderId="0" xfId="0" applyNumberFormat="1" applyFont="1" applyFill="1" applyBorder="1" applyAlignment="1">
      <x:alignment horizontal="left" vertical="center"/>
    </x:xf>
    <x:xf numFmtId="0" fontId="7" fillId="9" borderId="5" xfId="0" applyNumberFormat="1" applyFont="1" applyFill="1" applyBorder="1" applyAlignment="1">
      <x:alignment horizontal="left" vertical="center"/>
    </x:xf>
    <x:xf numFmtId="0" fontId="7" fillId="9" borderId="6" xfId="0" applyNumberFormat="1" applyFont="1" applyFill="1" applyBorder="1" applyAlignment="1">
      <x:alignment horizontal="left" vertical="center"/>
    </x:xf>
    <x:xf numFmtId="0" fontId="7" fillId="9" borderId="7" xfId="0" applyNumberFormat="1" applyFont="1" applyFill="1" applyBorder="1" applyAlignment="1">
      <x:alignment horizontal="left" vertical="center"/>
    </x:xf>
    <x:xf numFmtId="0" fontId="7" fillId="9" borderId="8" xfId="0" applyNumberFormat="1" applyFont="1" applyFill="1" applyBorder="1" applyAlignment="1">
      <x:alignment horizontal="left" vertical="center"/>
    </x:xf>
    <x:xf numFmtId="0" fontId="7" fillId="9" borderId="9" xfId="0" applyNumberFormat="1" applyFont="1" applyFill="1" applyBorder="1" applyAlignment="1">
      <x:alignment horizontal="left" vertical="center"/>
    </x:xf>
    <x:xf numFmtId="0" fontId="7" fillId="9" borderId="10" xfId="0" applyNumberFormat="1" applyFont="1" applyFill="1" applyBorder="1" applyAlignment="1">
      <x:alignment horizontal="left" vertical="center"/>
    </x:xf>
    <x:xf numFmtId="0" fontId="7" fillId="9" borderId="11" xfId="0" applyNumberFormat="1" applyFont="1" applyFill="1" applyBorder="1" applyAlignment="1">
      <x:alignment horizontal="left" vertical="center"/>
    </x:xf>
    <x:xf numFmtId="0" fontId="7" fillId="9" borderId="12" xfId="0" applyNumberFormat="1" applyFont="1" applyFill="1" applyBorder="1" applyAlignment="1">
      <x:alignment horizontal="left" vertical="center"/>
    </x:xf>
    <x:xf numFmtId="0" fontId="7" fillId="9" borderId="5" xfId="0" applyNumberFormat="1" applyFont="1" applyFill="1" applyBorder="1" applyAlignment="1">
      <x:alignment horizontal="left" vertical="center" wrapText="1"/>
    </x:xf>
    <x:xf numFmtId="0" fontId="7" fillId="9" borderId="6" xfId="0" applyNumberFormat="1" applyFont="1" applyFill="1" applyBorder="1" applyAlignment="1">
      <x:alignment horizontal="left" vertical="center" wrapText="1"/>
    </x:xf>
    <x:xf numFmtId="0" fontId="7" fillId="9" borderId="7" xfId="0" applyNumberFormat="1" applyFont="1" applyFill="1" applyBorder="1" applyAlignment="1">
      <x:alignment horizontal="left" vertical="center" wrapText="1"/>
    </x:xf>
    <x:xf numFmtId="0" fontId="7" fillId="9" borderId="8" xfId="0" applyNumberFormat="1" applyFont="1" applyFill="1" applyBorder="1" applyAlignment="1">
      <x:alignment horizontal="left" vertical="center" wrapText="1"/>
    </x:xf>
    <x:xf numFmtId="0" fontId="7" fillId="9" borderId="0" xfId="0" applyNumberFormat="1" applyFont="1" applyFill="1" applyBorder="1" applyAlignment="1">
      <x:alignment horizontal="left" vertical="center" wrapText="1"/>
    </x:xf>
    <x:xf numFmtId="0" fontId="7" fillId="9" borderId="9" xfId="0" applyNumberFormat="1" applyFont="1" applyFill="1" applyBorder="1" applyAlignment="1">
      <x:alignment horizontal="left" vertical="center" wrapText="1"/>
    </x:xf>
    <x:xf numFmtId="0" fontId="7" fillId="9" borderId="10" xfId="0" applyNumberFormat="1" applyFont="1" applyFill="1" applyBorder="1" applyAlignment="1">
      <x:alignment horizontal="left" vertical="center" wrapText="1"/>
    </x:xf>
    <x:xf numFmtId="0" fontId="7" fillId="9" borderId="11" xfId="0" applyNumberFormat="1" applyFont="1" applyFill="1" applyBorder="1" applyAlignment="1">
      <x:alignment horizontal="left" vertical="center" wrapText="1"/>
    </x:xf>
    <x:xf numFmtId="0" fontId="7" fillId="9" borderId="12" xfId="0" applyNumberFormat="1" applyFont="1" applyFill="1" applyBorder="1" applyAlignment="1">
      <x:alignment horizontal="left" vertical="center" wrapText="1"/>
    </x:xf>
    <x:xf numFmtId="202" fontId="0" fillId="0" borderId="0" xfId="0" applyNumberFormat="1" applyFont="1" applyFill="1" applyBorder="1"/>
    <x:xf numFmtId="0" fontId="1" fillId="10" borderId="0" xfId="0" applyNumberFormat="1" applyFont="1" applyFill="1" applyBorder="1" applyAlignment="1">
      <x:alignment horizontal="left" vertical="center"/>
    </x:xf>
    <x:xf numFmtId="0" fontId="1" fillId="10" borderId="3" xfId="0" applyNumberFormat="1" applyFont="1" applyFill="1" applyBorder="1" applyAlignment="1">
      <x:alignment horizontal="left" vertical="center"/>
    </x:xf>
    <x:xf numFmtId="200" fontId="1" fillId="8" borderId="3" xfId="0" applyNumberFormat="1" applyFont="1" applyFill="1" applyBorder="1" applyAlignment="1">
      <x:alignment horizontal="left" vertical="center"/>
    </x:xf>
    <x:xf numFmtId="203" fontId="1" fillId="8" borderId="0" xfId="0" applyNumberFormat="1" applyFont="1" applyFill="1" applyBorder="1" applyAlignment="1">
      <x:alignment horizontal="left" vertical="center"/>
    </x:xf>
    <x:xf numFmtId="203" fontId="1" fillId="8" borderId="3" xfId="0" applyNumberFormat="1" applyFont="1" applyFill="1" applyBorder="1" applyAlignment="1">
      <x:alignment horizontal="left" vertical="center"/>
    </x:xf>
    <x:xf numFmtId="0" fontId="0" fillId="8" borderId="0" xfId="0" applyNumberFormat="1" applyFont="1" applyFill="1" applyBorder="1"/>
    <x:xf numFmtId="0" fontId="1" fillId="8" borderId="0" xfId="0" applyNumberFormat="1" applyFont="1" applyFill="1" applyBorder="1"/>
    <x:xf numFmtId="0" fontId="1" fillId="8" borderId="3" xfId="0" applyNumberFormat="1" applyFont="1" applyFill="1" applyBorder="1"/>
    <x:xf numFmtId="0" fontId="0" fillId="10" borderId="0" xfId="0" applyNumberFormat="1" applyFont="1" applyFill="1" applyBorder="1"/>
    <x:xf numFmtId="0" fontId="1" fillId="10" borderId="0" xfId="0" applyNumberFormat="1" applyFont="1" applyFill="1" applyBorder="1"/>
    <x:xf numFmtId="0" fontId="1" fillId="10" borderId="3" xfId="0" applyNumberFormat="1" applyFont="1" applyFill="1" applyBorder="1"/>
    <x:xf numFmtId="200" fontId="1" fillId="8" borderId="0" xfId="0" applyNumberFormat="1" applyFont="1" applyFill="1" applyBorder="1"/>
    <x:xf numFmtId="200" fontId="1" fillId="8" borderId="3" xfId="0" applyNumberFormat="1" applyFont="1" applyFill="1" applyBorder="1"/>
    <x:xf numFmtId="201" fontId="1" fillId="10" borderId="0" xfId="0" applyNumberFormat="1" applyFont="1" applyFill="1" applyBorder="1" applyAlignment="1">
      <x:alignment horizontal="left" vertical="center"/>
    </x:xf>
    <x:xf numFmtId="201" fontId="1" fillId="8" borderId="0" xfId="0" applyNumberFormat="1" applyFont="1" applyFill="1" applyBorder="1"/>
    <x:xf numFmtId="201" fontId="1" fillId="10" borderId="0" xfId="0" applyNumberFormat="1" applyFont="1" applyFill="1" applyBorder="1"/>
    <x:xf numFmtId="201" fontId="1" fillId="8" borderId="3" xfId="0" applyNumberFormat="1" applyFont="1" applyFill="1" applyBorder="1"/>
    <x:xf numFmtId="201" fontId="1" fillId="10" borderId="3" xfId="0" applyNumberFormat="1" applyFont="1" applyFill="1" applyBorder="1"/>
    <x:xf numFmtId="202" fontId="1" fillId="10" borderId="0" xfId="0" applyNumberFormat="1" applyFont="1" applyFill="1" applyBorder="1" applyAlignment="1">
      <x:alignment horizontal="left" vertical="center"/>
    </x:xf>
    <x:xf numFmtId="202" fontId="1" fillId="10" borderId="0" xfId="0" applyNumberFormat="1" applyFont="1" applyFill="1" applyBorder="1"/>
    <x:xf numFmtId="202" fontId="1" fillId="10" borderId="3" xfId="0" applyNumberFormat="1" applyFont="1" applyFill="1" applyBorder="1"/>
    <x:xf numFmtId="200" fontId="1" fillId="10" borderId="0" xfId="0" applyNumberFormat="1" applyFont="1" applyFill="1" applyBorder="1" applyAlignment="1">
      <x:alignment horizontal="left" vertical="center"/>
    </x:xf>
    <x:xf numFmtId="200" fontId="1" fillId="10" borderId="3" xfId="0" applyNumberFormat="1" applyFont="1" applyFill="1" applyBorder="1" applyAlignment="1">
      <x:alignment horizontal="left" vertical="center"/>
    </x:xf>
    <x:xf numFmtId="0" fontId="1" fillId="11" borderId="0" xfId="0" applyNumberFormat="1" applyFont="1" applyFill="1" applyBorder="1" applyAlignment="1">
      <x:alignment horizontal="left" vertical="center"/>
    </x:xf>
    <x:xf numFmtId="0" fontId="3" fillId="11" borderId="0" xfId="0" applyNumberFormat="1" applyFont="1" applyFill="1" applyBorder="1" applyAlignment="1">
      <x:alignment horizontal="left" vertical="center"/>
    </x:xf>
    <x:xf numFmtId="0" fontId="3" fillId="11" borderId="0" xfId="0" applyNumberFormat="1" applyFont="1" applyFill="1" applyBorder="1" applyAlignment="1">
      <x:alignment horizontal="center" vertical="center"/>
    </x:xf>
    <x:xf numFmtId="0" fontId="1" fillId="12" borderId="0" xfId="0" applyNumberFormat="1" applyFont="1" applyFill="1" applyBorder="1" applyAlignment="1">
      <x:alignment horizontal="left" vertical="center"/>
    </x:xf>
    <x:xf numFmtId="0" fontId="4" fillId="12" borderId="0" xfId="0" applyNumberFormat="1" applyFont="1" applyFill="1" applyBorder="1" applyAlignment="1">
      <x:alignment horizontal="left" vertical="center"/>
    </x:xf>
    <x:xf numFmtId="0" fontId="4" fillId="12" borderId="13" xfId="0" applyNumberFormat="1" applyFont="1" applyFill="1" applyBorder="1" applyAlignment="1">
      <x:alignment horizontal="left" vertical="center"/>
    </x:xf>
    <x:xf numFmtId="0" fontId="4" fillId="12" borderId="14" xfId="0" applyNumberFormat="1" applyFont="1" applyFill="1" applyBorder="1" applyAlignment="1">
      <x:alignment horizontal="left" vertical="center"/>
    </x:xf>
    <x:xf numFmtId="0" fontId="4" fillId="12" borderId="15" xfId="0" applyNumberFormat="1" applyFont="1" applyFill="1" applyBorder="1" applyAlignment="1">
      <x:alignment horizontal="left" vertical="center"/>
    </x:xf>
    <x:xf numFmtId="0" fontId="4" fillId="12" borderId="16" xfId="0" applyNumberFormat="1" applyFont="1" applyFill="1" applyBorder="1" applyAlignment="1">
      <x:alignment horizontal="left" vertical="center"/>
    </x:xf>
    <x:xf numFmtId="0" fontId="4" fillId="12" borderId="17" xfId="0" applyNumberFormat="1" applyFont="1" applyFill="1" applyBorder="1" applyAlignment="1">
      <x:alignment horizontal="left" vertical="center"/>
    </x:xf>
    <x:xf numFmtId="0" fontId="4" fillId="12" borderId="18" xfId="0" applyNumberFormat="1" applyFont="1" applyFill="1" applyBorder="1" applyAlignment="1">
      <x:alignment horizontal="left" vertical="center"/>
    </x:xf>
    <x:xf numFmtId="0" fontId="4" fillId="12" borderId="3" xfId="0" applyNumberFormat="1" applyFont="1" applyFill="1" applyBorder="1" applyAlignment="1">
      <x:alignment horizontal="left" vertical="center"/>
    </x:xf>
    <x:xf numFmtId="0" fontId="4" fillId="12" borderId="19" xfId="0" applyNumberFormat="1" applyFont="1" applyFill="1" applyBorder="1" applyAlignment="1">
      <x:alignment horizontal="left" vertical="center"/>
    </x:xf>
    <x:xf numFmtId="204" fontId="4" fillId="12" borderId="13" xfId="0" applyNumberFormat="1" applyFont="1" applyFill="1" applyBorder="1" applyAlignment="1">
      <x:alignment horizontal="left" vertical="center"/>
    </x:xf>
    <x:xf numFmtId="204" fontId="4" fillId="12" borderId="14" xfId="0" applyNumberFormat="1" applyFont="1" applyFill="1" applyBorder="1" applyAlignment="1">
      <x:alignment horizontal="left" vertical="center"/>
    </x:xf>
    <x:xf numFmtId="204" fontId="4" fillId="12" borderId="15" xfId="0" applyNumberFormat="1" applyFont="1" applyFill="1" applyBorder="1" applyAlignment="1">
      <x:alignment horizontal="left" vertical="center"/>
    </x:xf>
    <x:xf numFmtId="204" fontId="4" fillId="12" borderId="16" xfId="0" applyNumberFormat="1" applyFont="1" applyFill="1" applyBorder="1" applyAlignment="1">
      <x:alignment horizontal="left" vertical="center"/>
    </x:xf>
    <x:xf numFmtId="204" fontId="4" fillId="12" borderId="0" xfId="0" applyNumberFormat="1" applyFont="1" applyFill="1" applyBorder="1" applyAlignment="1">
      <x:alignment horizontal="left" vertical="center"/>
    </x:xf>
    <x:xf numFmtId="204" fontId="4" fillId="12" borderId="17" xfId="0" applyNumberFormat="1" applyFont="1" applyFill="1" applyBorder="1" applyAlignment="1">
      <x:alignment horizontal="left" vertical="center"/>
    </x:xf>
    <x:xf numFmtId="204" fontId="4" fillId="12" borderId="18" xfId="0" applyNumberFormat="1" applyFont="1" applyFill="1" applyBorder="1" applyAlignment="1">
      <x:alignment horizontal="left" vertical="center"/>
    </x:xf>
    <x:xf numFmtId="204" fontId="4" fillId="12" borderId="3" xfId="0" applyNumberFormat="1" applyFont="1" applyFill="1" applyBorder="1" applyAlignment="1">
      <x:alignment horizontal="left" vertical="center"/>
    </x:xf>
    <x:xf numFmtId="204" fontId="4" fillId="12" borderId="19" xfId="0" applyNumberFormat="1" applyFont="1" applyFill="1" applyBorder="1" applyAlignment="1">
      <x:alignment horizontal="left" vertical="center"/>
    </x:xf>
    <x:xf numFmtId="204" fontId="4" fillId="12" borderId="13" xfId="0" applyNumberFormat="1" applyFont="1" applyFill="1" applyBorder="1" applyAlignment="1">
      <x:alignment horizontal="center" vertical="center"/>
    </x:xf>
    <x:xf numFmtId="204" fontId="4" fillId="12" borderId="14" xfId="0" applyNumberFormat="1" applyFont="1" applyFill="1" applyBorder="1" applyAlignment="1">
      <x:alignment horizontal="center" vertical="center"/>
    </x:xf>
    <x:xf numFmtId="204" fontId="4" fillId="12" borderId="15" xfId="0" applyNumberFormat="1" applyFont="1" applyFill="1" applyBorder="1" applyAlignment="1">
      <x:alignment horizontal="center" vertical="center"/>
    </x:xf>
    <x:xf numFmtId="204" fontId="4" fillId="12" borderId="16" xfId="0" applyNumberFormat="1" applyFont="1" applyFill="1" applyBorder="1" applyAlignment="1">
      <x:alignment horizontal="center" vertical="center"/>
    </x:xf>
    <x:xf numFmtId="204" fontId="4" fillId="12" borderId="0" xfId="0" applyNumberFormat="1" applyFont="1" applyFill="1" applyBorder="1" applyAlignment="1">
      <x:alignment horizontal="center" vertical="center"/>
    </x:xf>
    <x:xf numFmtId="204" fontId="4" fillId="12" borderId="17" xfId="0" applyNumberFormat="1" applyFont="1" applyFill="1" applyBorder="1" applyAlignment="1">
      <x:alignment horizontal="center" vertical="center"/>
    </x:xf>
    <x:xf numFmtId="204" fontId="4" fillId="12" borderId="18" xfId="0" applyNumberFormat="1" applyFont="1" applyFill="1" applyBorder="1" applyAlignment="1">
      <x:alignment horizontal="center" vertical="center"/>
    </x:xf>
    <x:xf numFmtId="204" fontId="4" fillId="12" borderId="3" xfId="0" applyNumberFormat="1" applyFont="1" applyFill="1" applyBorder="1" applyAlignment="1">
      <x:alignment horizontal="center" vertical="center"/>
    </x:xf>
    <x:xf numFmtId="204" fontId="4" fillId="12" borderId="19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horizontal="center" vertical="center"/>
    </x:xf>
    <x:xf numFmtId="201" fontId="4" fillId="12" borderId="13" xfId="0" applyNumberFormat="1" applyFont="1" applyFill="1" applyBorder="1" applyAlignment="1">
      <x:alignment horizontal="left" vertical="center"/>
    </x:xf>
    <x:xf numFmtId="201" fontId="4" fillId="12" borderId="14" xfId="0" applyNumberFormat="1" applyFont="1" applyFill="1" applyBorder="1" applyAlignment="1">
      <x:alignment horizontal="left" vertical="center"/>
    </x:xf>
    <x:xf numFmtId="201" fontId="4" fillId="12" borderId="15" xfId="0" applyNumberFormat="1" applyFont="1" applyFill="1" applyBorder="1" applyAlignment="1">
      <x:alignment horizontal="left" vertical="center"/>
    </x:xf>
    <x:xf numFmtId="201" fontId="4" fillId="12" borderId="16" xfId="0" applyNumberFormat="1" applyFont="1" applyFill="1" applyBorder="1" applyAlignment="1">
      <x:alignment horizontal="left" vertical="center"/>
    </x:xf>
    <x:xf numFmtId="201" fontId="4" fillId="12" borderId="0" xfId="0" applyNumberFormat="1" applyFont="1" applyFill="1" applyBorder="1" applyAlignment="1">
      <x:alignment horizontal="left" vertical="center"/>
    </x:xf>
    <x:xf numFmtId="201" fontId="4" fillId="12" borderId="17" xfId="0" applyNumberFormat="1" applyFont="1" applyFill="1" applyBorder="1" applyAlignment="1">
      <x:alignment horizontal="left" vertical="center"/>
    </x:xf>
    <x:xf numFmtId="201" fontId="4" fillId="12" borderId="18" xfId="0" applyNumberFormat="1" applyFont="1" applyFill="1" applyBorder="1" applyAlignment="1">
      <x:alignment horizontal="left" vertical="center"/>
    </x:xf>
    <x:xf numFmtId="201" fontId="4" fillId="12" borderId="3" xfId="0" applyNumberFormat="1" applyFont="1" applyFill="1" applyBorder="1" applyAlignment="1">
      <x:alignment horizontal="left" vertical="center"/>
    </x:xf>
    <x:xf numFmtId="201" fontId="4" fillId="12" borderId="19" xfId="0" applyNumberFormat="1" applyFont="1" applyFill="1" applyBorder="1" applyAlignment="1">
      <x:alignment horizontal="left" vertical="center"/>
    </x:xf>
    <x:xf numFmtId="201" fontId="4" fillId="12" borderId="13" xfId="0" applyNumberFormat="1" applyFont="1" applyFill="1" applyBorder="1" applyAlignment="1">
      <x:alignment horizontal="center" vertical="center"/>
    </x:xf>
    <x:xf numFmtId="201" fontId="4" fillId="12" borderId="14" xfId="0" applyNumberFormat="1" applyFont="1" applyFill="1" applyBorder="1" applyAlignment="1">
      <x:alignment horizontal="center" vertical="center"/>
    </x:xf>
    <x:xf numFmtId="201" fontId="4" fillId="12" borderId="15" xfId="0" applyNumberFormat="1" applyFont="1" applyFill="1" applyBorder="1" applyAlignment="1">
      <x:alignment horizontal="center" vertical="center"/>
    </x:xf>
    <x:xf numFmtId="201" fontId="4" fillId="12" borderId="16" xfId="0" applyNumberFormat="1" applyFont="1" applyFill="1" applyBorder="1" applyAlignment="1">
      <x:alignment horizontal="center" vertical="center"/>
    </x:xf>
    <x:xf numFmtId="201" fontId="4" fillId="12" borderId="0" xfId="0" applyNumberFormat="1" applyFont="1" applyFill="1" applyBorder="1" applyAlignment="1">
      <x:alignment horizontal="center" vertical="center"/>
    </x:xf>
    <x:xf numFmtId="201" fontId="4" fillId="12" borderId="17" xfId="0" applyNumberFormat="1" applyFont="1" applyFill="1" applyBorder="1" applyAlignment="1">
      <x:alignment horizontal="center" vertical="center"/>
    </x:xf>
    <x:xf numFmtId="201" fontId="4" fillId="12" borderId="18" xfId="0" applyNumberFormat="1" applyFont="1" applyFill="1" applyBorder="1" applyAlignment="1">
      <x:alignment horizontal="center" vertical="center"/>
    </x:xf>
    <x:xf numFmtId="201" fontId="4" fillId="12" borderId="3" xfId="0" applyNumberFormat="1" applyFont="1" applyFill="1" applyBorder="1" applyAlignment="1">
      <x:alignment horizontal="center" vertical="center"/>
    </x:xf>
    <x:xf numFmtId="201" fontId="4" fillId="12" borderId="19" xfId="0" applyNumberFormat="1" applyFont="1" applyFill="1" applyBorder="1" applyAlignment="1">
      <x:alignment horizontal="center" vertical="center"/>
    </x:xf>
    <x:xf numFmtId="0" fontId="3" fillId="6" borderId="0" xfId="0" applyNumberFormat="1" applyFont="1" applyFill="1" applyBorder="1" applyAlignment="1">
      <x:alignment horizontal="center" vertical="center"/>
    </x:xf>
    <x:xf numFmtId="0" fontId="1" fillId="13" borderId="0" xfId="0" applyNumberFormat="1" applyFont="1" applyFill="1" applyBorder="1" applyAlignment="1">
      <x:alignment horizontal="left" vertical="center"/>
    </x:xf>
    <x:xf numFmtId="0" fontId="3" fillId="13" borderId="0" xfId="0" applyNumberFormat="1" applyFont="1" applyFill="1" applyBorder="1" applyAlignment="1">
      <x:alignment horizontal="left" vertical="center"/>
    </x:xf>
    <x:xf numFmtId="0" fontId="3" fillId="13" borderId="0" xfId="0" applyNumberFormat="1" applyFont="1" applyFill="1" applyBorder="1" applyAlignment="1">
      <x:alignment horizontal="center" vertical="center"/>
    </x:xf>
    <x:xf numFmtId="201" fontId="1" fillId="10" borderId="3" xfId="0" applyNumberFormat="1" applyFont="1" applyFill="1" applyBorder="1" applyAlignment="1">
      <x:alignment horizontal="left" vertical="center"/>
    </x:xf>
    <x:xf numFmtId="0" fontId="1" fillId="14" borderId="0" xfId="0" applyNumberFormat="1" applyFont="1" applyFill="1" applyBorder="1" applyAlignment="1">
      <x:alignment horizontal="left" vertical="center"/>
    </x:xf>
    <x:xf numFmtId="0" fontId="8" fillId="14" borderId="0" xfId="0" applyNumberFormat="1" applyFont="1" applyFill="1" applyBorder="1" applyAlignment="1">
      <x:alignment horizontal="left" vertical="center"/>
    </x:xf>
    <x:xf numFmtId="0" fontId="8" fillId="14" borderId="20" xfId="0" applyNumberFormat="1" applyFont="1" applyFill="1" applyBorder="1" applyAlignment="1">
      <x:alignment horizontal="left" vertical="center"/>
    </x:xf>
    <x:xf numFmtId="0" fontId="8" fillId="14" borderId="21" xfId="0" applyNumberFormat="1" applyFont="1" applyFill="1" applyBorder="1" applyAlignment="1">
      <x:alignment horizontal="left" vertical="center"/>
    </x:xf>
    <x:xf numFmtId="0" fontId="8" fillId="14" borderId="22" xfId="0" applyNumberFormat="1" applyFont="1" applyFill="1" applyBorder="1" applyAlignment="1">
      <x:alignment horizontal="left" vertical="center"/>
    </x:xf>
    <x:xf numFmtId="0" fontId="8" fillId="14" borderId="23" xfId="0" applyNumberFormat="1" applyFont="1" applyFill="1" applyBorder="1" applyAlignment="1">
      <x:alignment horizontal="left" vertical="center"/>
    </x:xf>
    <x:xf numFmtId="0" fontId="8" fillId="14" borderId="24" xfId="0" applyNumberFormat="1" applyFont="1" applyFill="1" applyBorder="1" applyAlignment="1">
      <x:alignment horizontal="left" vertical="center"/>
    </x:xf>
    <x:xf numFmtId="0" fontId="8" fillId="14" borderId="25" xfId="0" applyNumberFormat="1" applyFont="1" applyFill="1" applyBorder="1" applyAlignment="1">
      <x:alignment horizontal="left" vertical="center"/>
    </x:xf>
    <x:xf numFmtId="0" fontId="8" fillId="14" borderId="26" xfId="0" applyNumberFormat="1" applyFont="1" applyFill="1" applyBorder="1" applyAlignment="1">
      <x:alignment horizontal="left" vertical="center"/>
    </x:xf>
    <x:xf numFmtId="0" fontId="8" fillId="14" borderId="27" xfId="0" applyNumberFormat="1" applyFont="1" applyFill="1" applyBorder="1" applyAlignment="1">
      <x:alignment horizontal="left" vertical="center"/>
    </x:xf>
    <x:xf numFmtId="0" fontId="8" fillId="14" borderId="20" xfId="0" applyNumberFormat="1" applyFont="1" applyFill="1" applyBorder="1" applyAlignment="1">
      <x:alignment horizontal="left" vertical="center" wrapText="1"/>
    </x:xf>
    <x:xf numFmtId="0" fontId="8" fillId="14" borderId="21" xfId="0" applyNumberFormat="1" applyFont="1" applyFill="1" applyBorder="1" applyAlignment="1">
      <x:alignment horizontal="left" vertical="center" wrapText="1"/>
    </x:xf>
    <x:xf numFmtId="0" fontId="8" fillId="14" borderId="22" xfId="0" applyNumberFormat="1" applyFont="1" applyFill="1" applyBorder="1" applyAlignment="1">
      <x:alignment horizontal="left" vertical="center" wrapText="1"/>
    </x:xf>
    <x:xf numFmtId="0" fontId="8" fillId="14" borderId="23" xfId="0" applyNumberFormat="1" applyFont="1" applyFill="1" applyBorder="1" applyAlignment="1">
      <x:alignment horizontal="left" vertical="center" wrapText="1"/>
    </x:xf>
    <x:xf numFmtId="0" fontId="8" fillId="14" borderId="0" xfId="0" applyNumberFormat="1" applyFont="1" applyFill="1" applyBorder="1" applyAlignment="1">
      <x:alignment horizontal="left" vertical="center" wrapText="1"/>
    </x:xf>
    <x:xf numFmtId="0" fontId="8" fillId="14" borderId="24" xfId="0" applyNumberFormat="1" applyFont="1" applyFill="1" applyBorder="1" applyAlignment="1">
      <x:alignment horizontal="left" vertical="center" wrapText="1"/>
    </x:xf>
    <x:xf numFmtId="0" fontId="8" fillId="14" borderId="25" xfId="0" applyNumberFormat="1" applyFont="1" applyFill="1" applyBorder="1" applyAlignment="1">
      <x:alignment horizontal="left" vertical="center" wrapText="1"/>
    </x:xf>
    <x:xf numFmtId="0" fontId="8" fillId="14" borderId="26" xfId="0" applyNumberFormat="1" applyFont="1" applyFill="1" applyBorder="1" applyAlignment="1">
      <x:alignment horizontal="left" vertical="center" wrapText="1"/>
    </x:xf>
    <x:xf numFmtId="0" fontId="8" fillId="14" borderId="27" xfId="0" applyNumberFormat="1" applyFont="1" applyFill="1" applyBorder="1" applyAlignment="1">
      <x:alignment horizontal="left" vertical="center" wrapText="1"/>
    </x:xf>
    <x:xf numFmtId="0" fontId="9" fillId="9" borderId="0" xfId="0" applyNumberFormat="1" applyFont="1" applyFill="1" applyBorder="1" applyAlignment="1">
      <x:alignment horizontal="left" vertical="center"/>
    </x:xf>
    <x:xf numFmtId="0" fontId="9" fillId="9" borderId="5" xfId="0" applyNumberFormat="1" applyFont="1" applyFill="1" applyBorder="1" applyAlignment="1">
      <x:alignment horizontal="left" vertical="center"/>
    </x:xf>
    <x:xf numFmtId="0" fontId="9" fillId="9" borderId="6" xfId="0" applyNumberFormat="1" applyFont="1" applyFill="1" applyBorder="1" applyAlignment="1">
      <x:alignment horizontal="left" vertical="center"/>
    </x:xf>
    <x:xf numFmtId="0" fontId="9" fillId="9" borderId="7" xfId="0" applyNumberFormat="1" applyFont="1" applyFill="1" applyBorder="1" applyAlignment="1">
      <x:alignment horizontal="left" vertical="center"/>
    </x:xf>
    <x:xf numFmtId="0" fontId="9" fillId="9" borderId="8" xfId="0" applyNumberFormat="1" applyFont="1" applyFill="1" applyBorder="1" applyAlignment="1">
      <x:alignment horizontal="left" vertical="center"/>
    </x:xf>
    <x:xf numFmtId="0" fontId="9" fillId="9" borderId="9" xfId="0" applyNumberFormat="1" applyFont="1" applyFill="1" applyBorder="1" applyAlignment="1">
      <x:alignment horizontal="left" vertical="center"/>
    </x:xf>
    <x:xf numFmtId="0" fontId="9" fillId="9" borderId="10" xfId="0" applyNumberFormat="1" applyFont="1" applyFill="1" applyBorder="1" applyAlignment="1">
      <x:alignment horizontal="left" vertical="center"/>
    </x:xf>
    <x:xf numFmtId="0" fontId="9" fillId="9" borderId="11" xfId="0" applyNumberFormat="1" applyFont="1" applyFill="1" applyBorder="1" applyAlignment="1">
      <x:alignment horizontal="left" vertical="center"/>
    </x:xf>
    <x:xf numFmtId="0" fontId="9" fillId="9" borderId="12" xfId="0" applyNumberFormat="1" applyFont="1" applyFill="1" applyBorder="1" applyAlignment="1">
      <x:alignment horizontal="left" vertical="center"/>
    </x:xf>
    <x:xf numFmtId="0" fontId="9" fillId="9" borderId="5" xfId="0" applyNumberFormat="1" applyFont="1" applyFill="1" applyBorder="1" applyAlignment="1">
      <x:alignment horizontal="left" vertical="center" wrapText="1"/>
    </x:xf>
    <x:xf numFmtId="0" fontId="9" fillId="9" borderId="6" xfId="0" applyNumberFormat="1" applyFont="1" applyFill="1" applyBorder="1" applyAlignment="1">
      <x:alignment horizontal="left" vertical="center" wrapText="1"/>
    </x:xf>
    <x:xf numFmtId="0" fontId="9" fillId="9" borderId="7" xfId="0" applyNumberFormat="1" applyFont="1" applyFill="1" applyBorder="1" applyAlignment="1">
      <x:alignment horizontal="left" vertical="center" wrapText="1"/>
    </x:xf>
    <x:xf numFmtId="0" fontId="9" fillId="9" borderId="8" xfId="0" applyNumberFormat="1" applyFont="1" applyFill="1" applyBorder="1" applyAlignment="1">
      <x:alignment horizontal="left" vertical="center" wrapText="1"/>
    </x:xf>
    <x:xf numFmtId="0" fontId="9" fillId="9" borderId="0" xfId="0" applyNumberFormat="1" applyFont="1" applyFill="1" applyBorder="1" applyAlignment="1">
      <x:alignment horizontal="left" vertical="center" wrapText="1"/>
    </x:xf>
    <x:xf numFmtId="0" fontId="9" fillId="9" borderId="9" xfId="0" applyNumberFormat="1" applyFont="1" applyFill="1" applyBorder="1" applyAlignment="1">
      <x:alignment horizontal="left" vertical="center" wrapText="1"/>
    </x:xf>
    <x:xf numFmtId="0" fontId="9" fillId="9" borderId="10" xfId="0" applyNumberFormat="1" applyFont="1" applyFill="1" applyBorder="1" applyAlignment="1">
      <x:alignment horizontal="left" vertical="center" wrapText="1"/>
    </x:xf>
    <x:xf numFmtId="0" fontId="9" fillId="9" borderId="11" xfId="0" applyNumberFormat="1" applyFont="1" applyFill="1" applyBorder="1" applyAlignment="1">
      <x:alignment horizontal="left" vertical="center" wrapText="1"/>
    </x:xf>
    <x:xf numFmtId="0" fontId="9" fillId="9" borderId="12" xfId="0" applyNumberFormat="1" applyFont="1" applyFill="1" applyBorder="1" applyAlignment="1">
      <x:alignment horizontal="left" vertical="center" wrapText="1"/>
    </x:xf>
    <x:xf numFmtId="0" fontId="10" fillId="10" borderId="0" xfId="0" applyNumberFormat="1" applyFont="1" applyFill="1" applyBorder="1" applyAlignment="1">
      <x:alignment horizontal="left" vertical="center"/>
    </x:xf>
    <x:xf numFmtId="0" fontId="10" fillId="10" borderId="28" xfId="0" applyNumberFormat="1" applyFont="1" applyFill="1" applyBorder="1" applyAlignment="1">
      <x:alignment horizontal="left" vertical="center"/>
    </x:xf>
    <x:xf numFmtId="0" fontId="10" fillId="10" borderId="29" xfId="0" applyNumberFormat="1" applyFont="1" applyFill="1" applyBorder="1" applyAlignment="1">
      <x:alignment horizontal="left" vertical="center"/>
    </x:xf>
    <x:xf numFmtId="0" fontId="10" fillId="10" borderId="30" xfId="0" applyNumberFormat="1" applyFont="1" applyFill="1" applyBorder="1" applyAlignment="1">
      <x:alignment horizontal="left" vertical="center"/>
    </x:xf>
    <x:xf numFmtId="0" fontId="10" fillId="10" borderId="31" xfId="0" applyNumberFormat="1" applyFont="1" applyFill="1" applyBorder="1" applyAlignment="1">
      <x:alignment horizontal="left" vertical="center"/>
    </x:xf>
    <x:xf numFmtId="0" fontId="10" fillId="10" borderId="32" xfId="0" applyNumberFormat="1" applyFont="1" applyFill="1" applyBorder="1" applyAlignment="1">
      <x:alignment horizontal="left" vertical="center"/>
    </x:xf>
    <x:xf numFmtId="0" fontId="10" fillId="10" borderId="33" xfId="0" applyNumberFormat="1" applyFont="1" applyFill="1" applyBorder="1" applyAlignment="1">
      <x:alignment horizontal="left" vertical="center"/>
    </x:xf>
    <x:xf numFmtId="0" fontId="10" fillId="10" borderId="34" xfId="0" applyNumberFormat="1" applyFont="1" applyFill="1" applyBorder="1" applyAlignment="1">
      <x:alignment horizontal="left" vertical="center"/>
    </x:xf>
    <x:xf numFmtId="0" fontId="10" fillId="10" borderId="35" xfId="0" applyNumberFormat="1" applyFont="1" applyFill="1" applyBorder="1" applyAlignment="1">
      <x:alignment horizontal="left" vertical="center"/>
    </x:xf>
    <x:xf numFmtId="0" fontId="10" fillId="10" borderId="28" xfId="0" applyNumberFormat="1" applyFont="1" applyFill="1" applyBorder="1" applyAlignment="1">
      <x:alignment horizontal="left" vertical="center" wrapText="1"/>
    </x:xf>
    <x:xf numFmtId="0" fontId="10" fillId="10" borderId="29" xfId="0" applyNumberFormat="1" applyFont="1" applyFill="1" applyBorder="1" applyAlignment="1">
      <x:alignment horizontal="left" vertical="center" wrapText="1"/>
    </x:xf>
    <x:xf numFmtId="0" fontId="10" fillId="10" borderId="30" xfId="0" applyNumberFormat="1" applyFont="1" applyFill="1" applyBorder="1" applyAlignment="1">
      <x:alignment horizontal="left" vertical="center" wrapText="1"/>
    </x:xf>
    <x:xf numFmtId="0" fontId="10" fillId="10" borderId="31" xfId="0" applyNumberFormat="1" applyFont="1" applyFill="1" applyBorder="1" applyAlignment="1">
      <x:alignment horizontal="left" vertical="center" wrapText="1"/>
    </x:xf>
    <x:xf numFmtId="0" fontId="10" fillId="10" borderId="0" xfId="0" applyNumberFormat="1" applyFont="1" applyFill="1" applyBorder="1" applyAlignment="1">
      <x:alignment horizontal="left" vertical="center" wrapText="1"/>
    </x:xf>
    <x:xf numFmtId="0" fontId="10" fillId="10" borderId="32" xfId="0" applyNumberFormat="1" applyFont="1" applyFill="1" applyBorder="1" applyAlignment="1">
      <x:alignment horizontal="left" vertical="center" wrapText="1"/>
    </x:xf>
    <x:xf numFmtId="0" fontId="10" fillId="10" borderId="33" xfId="0" applyNumberFormat="1" applyFont="1" applyFill="1" applyBorder="1" applyAlignment="1">
      <x:alignment horizontal="left" vertical="center" wrapText="1"/>
    </x:xf>
    <x:xf numFmtId="0" fontId="10" fillId="10" borderId="34" xfId="0" applyNumberFormat="1" applyFont="1" applyFill="1" applyBorder="1" applyAlignment="1">
      <x:alignment horizontal="left" vertical="center" wrapText="1"/>
    </x:xf>
    <x:xf numFmtId="0" fontId="10" fillId="10" borderId="35" xfId="0" applyNumberFormat="1" applyFont="1" applyFill="1" applyBorder="1" applyAlignment="1">
      <x:alignment horizontal="left" vertical="center" wrapText="1"/>
    </x:xf>
    <x:xf numFmtId="0" fontId="1" fillId="15" borderId="0" xfId="0" applyNumberFormat="1" applyFont="1" applyFill="1" applyBorder="1" applyAlignment="1">
      <x:alignment horizontal="left" vertical="center"/>
    </x:xf>
    <x:xf numFmtId="0" fontId="11" fillId="15" borderId="0" xfId="0" applyNumberFormat="1" applyFont="1" applyFill="1" applyBorder="1" applyAlignment="1">
      <x:alignment horizontal="left" vertical="center"/>
    </x:xf>
    <x:xf numFmtId="0" fontId="11" fillId="15" borderId="36" xfId="0" applyNumberFormat="1" applyFont="1" applyFill="1" applyBorder="1" applyAlignment="1">
      <x:alignment horizontal="left" vertical="center"/>
    </x:xf>
    <x:xf numFmtId="0" fontId="11" fillId="15" borderId="37" xfId="0" applyNumberFormat="1" applyFont="1" applyFill="1" applyBorder="1" applyAlignment="1">
      <x:alignment horizontal="left" vertical="center"/>
    </x:xf>
    <x:xf numFmtId="0" fontId="11" fillId="15" borderId="38" xfId="0" applyNumberFormat="1" applyFont="1" applyFill="1" applyBorder="1" applyAlignment="1">
      <x:alignment horizontal="left" vertical="center"/>
    </x:xf>
    <x:xf numFmtId="0" fontId="11" fillId="15" borderId="39" xfId="0" applyNumberFormat="1" applyFont="1" applyFill="1" applyBorder="1" applyAlignment="1">
      <x:alignment horizontal="left" vertical="center"/>
    </x:xf>
    <x:xf numFmtId="0" fontId="11" fillId="15" borderId="40" xfId="0" applyNumberFormat="1" applyFont="1" applyFill="1" applyBorder="1" applyAlignment="1">
      <x:alignment horizontal="left" vertical="center"/>
    </x:xf>
    <x:xf numFmtId="0" fontId="11" fillId="15" borderId="41" xfId="0" applyNumberFormat="1" applyFont="1" applyFill="1" applyBorder="1" applyAlignment="1">
      <x:alignment horizontal="left" vertical="center"/>
    </x:xf>
    <x:xf numFmtId="0" fontId="11" fillId="15" borderId="42" xfId="0" applyNumberFormat="1" applyFont="1" applyFill="1" applyBorder="1" applyAlignment="1">
      <x:alignment horizontal="left" vertical="center"/>
    </x:xf>
    <x:xf numFmtId="0" fontId="11" fillId="15" borderId="43" xfId="0" applyNumberFormat="1" applyFont="1" applyFill="1" applyBorder="1" applyAlignment="1">
      <x:alignment horizontal="left" vertical="center"/>
    </x:xf>
    <x:xf numFmtId="0" fontId="11" fillId="15" borderId="36" xfId="0" applyNumberFormat="1" applyFont="1" applyFill="1" applyBorder="1" applyAlignment="1">
      <x:alignment horizontal="left" vertical="center" wrapText="1"/>
    </x:xf>
    <x:xf numFmtId="0" fontId="11" fillId="15" borderId="37" xfId="0" applyNumberFormat="1" applyFont="1" applyFill="1" applyBorder="1" applyAlignment="1">
      <x:alignment horizontal="left" vertical="center" wrapText="1"/>
    </x:xf>
    <x:xf numFmtId="0" fontId="11" fillId="15" borderId="38" xfId="0" applyNumberFormat="1" applyFont="1" applyFill="1" applyBorder="1" applyAlignment="1">
      <x:alignment horizontal="left" vertical="center" wrapText="1"/>
    </x:xf>
    <x:xf numFmtId="0" fontId="11" fillId="15" borderId="39" xfId="0" applyNumberFormat="1" applyFont="1" applyFill="1" applyBorder="1" applyAlignment="1">
      <x:alignment horizontal="left" vertical="center" wrapText="1"/>
    </x:xf>
    <x:xf numFmtId="0" fontId="11" fillId="15" borderId="0" xfId="0" applyNumberFormat="1" applyFont="1" applyFill="1" applyBorder="1" applyAlignment="1">
      <x:alignment horizontal="left" vertical="center" wrapText="1"/>
    </x:xf>
    <x:xf numFmtId="0" fontId="11" fillId="15" borderId="40" xfId="0" applyNumberFormat="1" applyFont="1" applyFill="1" applyBorder="1" applyAlignment="1">
      <x:alignment horizontal="left" vertical="center" wrapText="1"/>
    </x:xf>
    <x:xf numFmtId="0" fontId="11" fillId="15" borderId="41" xfId="0" applyNumberFormat="1" applyFont="1" applyFill="1" applyBorder="1" applyAlignment="1">
      <x:alignment horizontal="left" vertical="center" wrapText="1"/>
    </x:xf>
    <x:xf numFmtId="0" fontId="11" fillId="15" borderId="42" xfId="0" applyNumberFormat="1" applyFont="1" applyFill="1" applyBorder="1" applyAlignment="1">
      <x:alignment horizontal="left" vertical="center" wrapText="1"/>
    </x:xf>
    <x:xf numFmtId="0" fontId="11" fillId="15" borderId="43" xfId="0" applyNumberFormat="1" applyFont="1" applyFill="1" applyBorder="1" applyAlignment="1">
      <x:alignment horizontal="left" vertical="center" wrapText="1"/>
    </x:xf>
    <x:xf numFmtId="0" fontId="1" fillId="2" borderId="3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10"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602f8ae474a39" /><Relationship Type="http://schemas.openxmlformats.org/officeDocument/2006/relationships/theme" Target="/xl/theme/theme1.xml" Id="Rfeb46e540b85433b" /><Relationship Type="http://schemas.openxmlformats.org/officeDocument/2006/relationships/sharedStrings" Target="/xl/sharedStrings.xml" Id="R0398e4f0f2b64b24" /><Relationship Type="http://schemas.openxmlformats.org/officeDocument/2006/relationships/worksheet" Target="/xl/worksheets/sheet1.xml" Id="Rd3be656724524c3b" /><Relationship Type="http://schemas.openxmlformats.org/officeDocument/2006/relationships/worksheet" Target="/xl/worksheets/sheet2.xml" Id="Rc5ec626d7dc94196" /><Relationship Type="http://schemas.openxmlformats.org/officeDocument/2006/relationships/worksheet" Target="/xl/worksheets/sheet3.xml" Id="R83f856e4f681477d" /><Relationship Type="http://schemas.openxmlformats.org/officeDocument/2006/relationships/worksheet" Target="/xl/worksheets/sheet4.xml" Id="Rd693b4ed393d416f" /><Relationship Type="http://schemas.openxmlformats.org/officeDocument/2006/relationships/worksheet" Target="/xl/worksheets/sheet5.xml" Id="R767d1ee864794e04" /><Relationship Type="http://schemas.openxmlformats.org/officeDocument/2006/relationships/worksheet" Target="/xl/worksheets/sheet6.xml" Id="Red82cf4024da4ec4" /><Relationship Type="http://schemas.openxmlformats.org/officeDocument/2006/relationships/worksheet" Target="/xl/worksheets/sheet7.xml" Id="R8b788c365ef7439f" /><Relationship Type="http://schemas.openxmlformats.org/officeDocument/2006/relationships/worksheet" Target="/xl/worksheets/sheet8.xml" Id="Rbe0ba4c207fd4ebb" /><Relationship Type="http://schemas.openxmlformats.org/officeDocument/2006/relationships/worksheet" Target="/xl/worksheets/sheet9.xml" Id="R7cfd3b1152464fd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780bc1b740b4fe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66df148a69084cb7" /><Relationship Type="http://schemas.openxmlformats.org/officeDocument/2006/relationships/chart" Target="/xl/drawings/charts/chart3.xml" Id="Rd49555dfe520484d" /><Relationship Type="http://schemas.openxmlformats.org/officeDocument/2006/relationships/chart" Target="/xl/drawings/charts/chart4.xml" Id="Rf8a43e610d8644f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ABSENCE VIEW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Approved requests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'CALENDAR'!$B$11:$B$41</c:f>
              <c:strCache>
                <c:ptCount val="0"/>
              </c:strCache>
            </c:strRef>
          </c:cat>
          <c:val>
            <c:numRef>
              <c:f>'CALENDAR'!$C$11:$C$41</c:f>
              <c:numCache>
                <c:formatCode>0</c:formatCode>
                <c:ptCount val="0"/>
              </c:numCache>
            </c:numRef>
          </c:val>
        </c:ser>
        <c:ser>
          <c:idx val="1"/>
          <c:order val="1"/>
          <c:tx>
            <c:v>Pending requests</c:v>
          </c:tx>
          <c:spPr>
            <a:solidFill xmlns:a="http://schemas.openxmlformats.org/drawingml/2006/main">
              <a:srgbClr val="B88935"/>
            </a:solidFill>
          </c:spPr>
          <c:invertIfNegative val="0"/>
          <c:cat>
            <c:strRef>
              <c:f>'CALENDAR'!$B$11:$B$41</c:f>
              <c:strCache>
                <c:ptCount val="0"/>
              </c:strCache>
            </c:strRef>
          </c:cat>
          <c:val>
            <c:numRef>
              <c:f>'CALENDAR'!$D$11:$D$41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Requests by status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Requests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'DASHBOARD'!$H$18:$H$21</c:f>
              <c:strCache>
                <c:ptCount val="0"/>
              </c:strCache>
            </c:strRef>
          </c:cat>
          <c:val>
            <c:numRef>
              <c:f>'DASHBOARD'!$I$18:$I$21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Leave demand by type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Approved days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'DASHBOARD'!$L$18:$L$21</c:f>
              <c:strCache>
                <c:ptCount val="0"/>
              </c:strCache>
            </c:strRef>
          </c:cat>
          <c:val>
            <c:numRef>
              <c:f>'DASHBOARD'!$M$18:$M$21</c:f>
              <c:numCache>
                <c:formatCode>#,##0.0;[Red](#,##0.0);-</c:formatCode>
                <c:ptCount val="0"/>
              </c:numCache>
            </c:numRef>
          </c:val>
        </c:ser>
        <c:ser>
          <c:idx val="1"/>
          <c:order val="1"/>
          <c:tx>
            <c:v>Pending days</c:v>
          </c:tx>
          <c:spPr>
            <a:solidFill xmlns:a="http://schemas.openxmlformats.org/drawingml/2006/main">
              <a:srgbClr val="B88935"/>
            </a:solidFill>
          </c:spPr>
          <c:invertIfNegative val="0"/>
          <c:cat>
            <c:strRef>
              <c:f>'DASHBOARD'!$L$18:$L$21</c:f>
              <c:strCache>
                <c:ptCount val="0"/>
              </c:strCache>
            </c:strRef>
          </c:cat>
          <c:val>
            <c:numRef>
              <c:f>'DASHBOARD'!$N$18:$N$21</c:f>
              <c:numCache>
                <c:formatCode>#,##0.0;[Red](#,##0.0);-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Approved requests by month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Series 1</c:v>
          </c:tx>
          <c:spPr>
            <a:ln xmlns:a="http://schemas.openxmlformats.org/drawingml/2006/main" w="23813">
              <a:solidFill>
                <a:srgbClr val="1F6B55"/>
              </a:solidFill>
            </a:ln>
          </c:spPr>
          <c:marker>
            <c:symbol val="none"/>
          </c:marker>
          <c:cat>
            <c:strRef>
              <c:f>'DASHBOARD'!$P$18:$P$29</c:f>
              <c:strCache>
                <c:ptCount val="0"/>
              </c:strCache>
            </c:strRef>
          </c:cat>
          <c:val>
            <c:numRef>
              <c:f>'DASHBOARD'!$Q$18:$Q$29</c:f>
              <c:numCache>
                <c:formatCode>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9</xdr:row>
      <xdr:rowOff>0</xdr:rowOff>
    </xdr:from>
    <xdr:to>
      <xdr:col>20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780bc1b740b4fe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26</xdr:row>
      <xdr:rowOff>0</xdr:rowOff>
    </xdr:from>
    <xdr:to>
      <xdr:col>6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6df148a69084cb7"/>
        </a:graphicData>
      </a:graphic>
    </xdr:graphicFrame>
    <xdr:clientData/>
  </xdr:twoCellAnchor>
  <xdr:twoCellAnchor>
    <xdr:from>
      <xdr:col>7</xdr:col>
      <xdr:colOff>0</xdr:colOff>
      <xdr:row>26</xdr:row>
      <xdr:rowOff>0</xdr:rowOff>
    </xdr:from>
    <xdr:to>
      <xdr:col>14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49555dfe520484d"/>
        </a:graphicData>
      </a:graphic>
    </xdr:graphicFrame>
    <xdr:clientData/>
  </xdr:twoCellAnchor>
  <xdr:twoCellAnchor>
    <xdr:from>
      <xdr:col>15</xdr:col>
      <xdr:colOff>0</xdr:colOff>
      <xdr:row>30</xdr:row>
      <xdr:rowOff>0</xdr:rowOff>
    </xdr:from>
    <xdr:to>
      <xdr:col>20</xdr:col>
      <xdr:colOff>0</xdr:colOff>
      <xdr:row>43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8a43e610d8644f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olicies_en" displayName="Policies_en" ref="J10:N14" headerRowCount="1" totalsRowCount="0" totalsRowShown="0">
  <x:tableColumns count="5">
    <x:tableColumn id="1" name="Leave type"/>
    <x:tableColumn id="2" name="Annual entitlement"/>
    <x:tableColumn id="3" name="Carry-in allowed"/>
    <x:tableColumn id="4" name="Approval required"/>
    <x:tableColumn id="5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verageSetup_en" displayName="CoverageSetup_en" ref="J18:K23" headerRowCount="1" totalsRowCount="0" totalsRowShown="0">
  <x:tableColumns count="2">
    <x:tableColumn id="1" name="Department"/>
    <x:tableColumn id="2" name="Minimum require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mployees_en" displayName="Employees_en" ref="A10:K60" headerRowCount="1" totalsRowCount="0" totalsRowShown="0">
  <x:tableColumns count="11">
    <x:tableColumn id="1" name="Employee ID"/>
    <x:tableColumn id="2" name="Employee name"/>
    <x:tableColumn id="3" name="Department"/>
    <x:tableColumn id="4" name="Manager"/>
    <x:tableColumn id="5" name="Hire date"/>
    <x:tableColumn id="6" name="Status"/>
    <x:tableColumn id="7" name="FTE"/>
    <x:tableColumn id="8" name="Work email"/>
    <x:tableColumn id="9" name="Location"/>
    <x:tableColumn id="10" name="Opening note"/>
    <x:tableColumn id="11" name="Data check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quests_en" displayName="Requests_en" ref="A10:Q90" headerRowCount="1" totalsRowCount="0" totalsRowShown="0">
  <x:tableColumns count="17">
    <x:tableColumn id="1" name="Request ID"/>
    <x:tableColumn id="2" name="Employee ID"/>
    <x:tableColumn id="3" name="Employee name"/>
    <x:tableColumn id="4" name="Department"/>
    <x:tableColumn id="5" name="Leave type"/>
    <x:tableColumn id="6" name="Start date"/>
    <x:tableColumn id="7" name="End date"/>
    <x:tableColumn id="8" name="Day unit"/>
    <x:tableColumn id="9" name="Requested days"/>
    <x:tableColumn id="10" name="Status"/>
    <x:tableColumn id="11" name="Approver"/>
    <x:tableColumn id="12" name="Decision date"/>
    <x:tableColumn id="13" name="Reason / handover"/>
    <x:tableColumn id="14" name="Overlap check"/>
    <x:tableColumn id="15" name="Coverage check"/>
    <x:tableColumn id="16" name="Data check"/>
    <x:tableColumn id="17" name="Priorit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Balances_en" displayName="Balances_en" ref="A10:K90" headerRowCount="1" totalsRowCount="0" totalsRowShown="0">
  <x:tableColumns count="11">
    <x:tableColumn id="1" name="Employee ID"/>
    <x:tableColumn id="2" name="Employee name"/>
    <x:tableColumn id="3" name="Department"/>
    <x:tableColumn id="4" name="Leave type"/>
    <x:tableColumn id="5" name="Opening balance"/>
    <x:tableColumn id="6" name="Annual entitlement"/>
    <x:tableColumn id="7" name="Approved used"/>
    <x:tableColumn id="8" name="Pending exposure"/>
    <x:tableColumn id="9" name="Available after approval"/>
    <x:tableColumn id="10" name="Projected after pending"/>
    <x:tableColumn id="11" name="Balance statu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7" name="Calendar_en" displayName="Calendar_en" ref="A10:G41" headerRowCount="1" totalsRowCount="0" totalsRowShown="0">
  <x:tableColumns count="7">
    <x:tableColumn id="1" name="Date"/>
    <x:tableColumn id="2" name="Day"/>
    <x:tableColumn id="3" name="Approved requests"/>
    <x:tableColumn id="4" name="Pending requests"/>
    <x:tableColumn id="5" name="People available"/>
    <x:tableColumn id="6" name="Coverage status"/>
    <x:tableColumn id="7" name="Decision not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6" name="Coverage_en" displayName="Coverage_en" ref="A10:H15" headerRowCount="1" totalsRowCount="0" totalsRowShown="0">
  <x:tableColumns count="8">
    <x:tableColumn id="1" name="Department"/>
    <x:tableColumn id="2" name="Active headcount"/>
    <x:tableColumn id="3" name="Approved away"/>
    <x:tableColumn id="4" name="Pending away"/>
    <x:tableColumn id="5" name="Available now"/>
    <x:tableColumn id="6" name="Minimum required"/>
    <x:tableColumn id="7" name="Capacity buffer"/>
    <x:tableColumn id="8" name="Coverage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07f8699442f426e" /><Relationship Type="http://schemas.openxmlformats.org/officeDocument/2006/relationships/table" Target="/xl/tables/table2.xml" Id="Ra36dec4de13a4f6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1ee84df97ed472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ddb3c941c4c4ba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2a04980d456c4a8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310227a29d3e43ed" /><Relationship Type="http://schemas.openxmlformats.org/officeDocument/2006/relationships/table" Target="/xl/tables/table6.xml" Id="Re6cc3060bffe421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1a3bfee3e46d418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2.xml" Id="Rc6950559c44c4b9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</x:cols>
  <x:sheetData>
    <x:row r="1" ht="20" customHeight="1">
      <x:c r="A1" s="9" t="str">
        <x:v>Home</x:v>
      </x:c>
      <x:c r="B1" s="10" t="str">
        <x:v>Home</x:v>
      </x:c>
      <x:c r="C1" s="12" t="str">
        <x:v>Setup</x:v>
      </x:c>
      <x:c r="D1" s="13" t="str">
        <x:v>Setup</x:v>
      </x:c>
      <x:c r="E1" s="12" t="str">
        <x:v>Employees</x:v>
      </x:c>
      <x:c r="F1" s="13" t="str">
        <x:v>Employees</x:v>
      </x:c>
      <x:c r="G1" s="12" t="str">
        <x:v>Requests</x:v>
      </x:c>
      <x:c r="H1" s="13" t="str">
        <x:v>Requests</x:v>
      </x:c>
      <x:c r="I1" s="12" t="str">
        <x:v>Balances</x:v>
      </x:c>
      <x:c r="J1" s="13" t="str">
        <x:v>Balances</x:v>
      </x:c>
      <x:c r="K1" s="12" t="str">
        <x:v>Calendar</x:v>
      </x:c>
      <x:c r="L1" s="13" t="str">
        <x:v>Calendar</x:v>
      </x:c>
      <x:c r="M1" s="12" t="str">
        <x:v>Coverage</x:v>
      </x:c>
      <x:c r="N1" s="13" t="str">
        <x:v>Coverage</x:v>
      </x:c>
      <x:c r="O1" s="12" t="str">
        <x:v>Dashboard</x:v>
      </x:c>
      <x:c r="P1" s="13" t="str">
        <x:v>Dashboard</x:v>
      </x:c>
      <x:c r="Q1" s="12" t="str">
        <x:v>Audit</x:v>
      </x:c>
      <x:c r="R1" s="13" t="str">
        <x:v>Audit</x:v>
      </x:c>
      <x:c r="S1" s="6"/>
      <x:c r="T1" s="6"/>
    </x:row>
    <x:row r="2" ht="20" customHeight="1">
      <x:c r="A2" s="9" t="str">
        <x:v>Home</x:v>
      </x:c>
      <x:c r="B2" s="10" t="str">
        <x:v>Home</x:v>
      </x:c>
      <x:c r="C2" s="12" t="str">
        <x:v>Setup</x:v>
      </x:c>
      <x:c r="D2" s="13" t="str">
        <x:v>Setup</x:v>
      </x:c>
      <x:c r="E2" s="12" t="str">
        <x:v>Employees</x:v>
      </x:c>
      <x:c r="F2" s="13" t="str">
        <x:v>Employees</x:v>
      </x:c>
      <x:c r="G2" s="12" t="str">
        <x:v>Requests</x:v>
      </x:c>
      <x:c r="H2" s="13" t="str">
        <x:v>Requests</x:v>
      </x:c>
      <x:c r="I2" s="12" t="str">
        <x:v>Balances</x:v>
      </x:c>
      <x:c r="J2" s="13" t="str">
        <x:v>Balances</x:v>
      </x:c>
      <x:c r="K2" s="12" t="str">
        <x:v>Calendar</x:v>
      </x:c>
      <x:c r="L2" s="13" t="str">
        <x:v>Calendar</x:v>
      </x:c>
      <x:c r="M2" s="12" t="str">
        <x:v>Coverage</x:v>
      </x:c>
      <x:c r="N2" s="13" t="str">
        <x:v>Coverage</x:v>
      </x:c>
      <x:c r="O2" s="12" t="str">
        <x:v>Dashboard</x:v>
      </x:c>
      <x:c r="P2" s="13" t="str">
        <x:v>Dashboard</x:v>
      </x:c>
      <x:c r="Q2" s="12" t="str">
        <x:v>Audit</x:v>
      </x:c>
      <x:c r="R2" s="13" t="str">
        <x:v>Audit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LEAVE OPERATIONS</x:v>
      </x:c>
      <x:c r="B4" s="15" t="str">
        <x:v>LEAVE OPERATIONS</x:v>
      </x:c>
      <x:c r="C4" s="15" t="str">
        <x:v>LEAVE OPERATIONS</x:v>
      </x:c>
      <x:c r="D4" s="15" t="str">
        <x:v>LEAVE OPERATIONS</x:v>
      </x:c>
      <x:c r="E4" s="15" t="str">
        <x:v>LEAVE OPERATIONS</x:v>
      </x:c>
      <x:c r="F4" s="15" t="str">
        <x:v>LEAVE OPERATIONS</x:v>
      </x:c>
      <x:c r="G4" s="15" t="str">
        <x:v>LEAVE OPERATIONS</x:v>
      </x:c>
      <x:c r="H4" s="15" t="str">
        <x:v>LEAVE OPERATIONS</x:v>
      </x:c>
      <x:c r="I4" s="15" t="str">
        <x:v>LEAVE OPERATIONS</x:v>
      </x:c>
      <x:c r="J4" s="15" t="str">
        <x:v>LEAVE OPERATIONS</x:v>
      </x:c>
      <x:c r="K4" s="15" t="str">
        <x:v>LEAVE OPERATIONS</x:v>
      </x:c>
      <x:c r="L4" s="15" t="str">
        <x:v>LEAVE OPERATIONS</x:v>
      </x:c>
      <x:c r="M4" s="15" t="str">
        <x:v>LEAVE OPERATIONS</x:v>
      </x:c>
      <x:c r="N4" s="15" t="str">
        <x:v>LEAVE OPERATIONS</x:v>
      </x:c>
      <x:c r="O4" s="15" t="str">
        <x:v>LEAVE OPERATIONS</x:v>
      </x:c>
      <x:c r="P4" s="15" t="str">
        <x:v>LEAVE OPERATIONS</x:v>
      </x:c>
      <x:c r="Q4" s="15" t="str">
        <x:v>LEAVE OPERATIONS</x:v>
      </x:c>
      <x:c r="R4" s="15" t="str">
        <x:v>LEAVE OPERATIONS</x:v>
      </x:c>
      <x:c r="S4" s="15" t="str">
        <x:v>LEAVE OPERATIONS</x:v>
      </x:c>
      <x:c r="T4" s="15" t="str">
        <x:v>LEAVE OPERATIONS</x:v>
      </x:c>
    </x:row>
    <x:row r="5" ht="24" customHeight="1">
      <x:c r="A5" s="17" t="str">
        <x:v>Leave &amp; PTO Control Center</x:v>
      </x:c>
      <x:c r="B5" s="17" t="str">
        <x:v>Leave &amp; PTO Control Center</x:v>
      </x:c>
      <x:c r="C5" s="17" t="str">
        <x:v>Leave &amp; PTO Control Center</x:v>
      </x:c>
      <x:c r="D5" s="17" t="str">
        <x:v>Leave &amp; PTO Control Center</x:v>
      </x:c>
      <x:c r="E5" s="17" t="str">
        <x:v>Leave &amp; PTO Control Center</x:v>
      </x:c>
      <x:c r="F5" s="17" t="str">
        <x:v>Leave &amp; PTO Control Center</x:v>
      </x:c>
      <x:c r="G5" s="17" t="str">
        <x:v>Leave &amp; PTO Control Center</x:v>
      </x:c>
      <x:c r="H5" s="17" t="str">
        <x:v>Leave &amp; PTO Control Center</x:v>
      </x:c>
      <x:c r="I5" s="17" t="str">
        <x:v>Leave &amp; PTO Control Center</x:v>
      </x:c>
      <x:c r="J5" s="17" t="str">
        <x:v>Leave &amp; PTO Control Center</x:v>
      </x:c>
      <x:c r="K5" s="17" t="str">
        <x:v>Leave &amp; PTO Control Center</x:v>
      </x:c>
      <x:c r="L5" s="17" t="str">
        <x:v>Leave &amp; PTO Control Center</x:v>
      </x:c>
      <x:c r="M5" s="17" t="str">
        <x:v>Leave &amp; PTO Control Center</x:v>
      </x:c>
      <x:c r="N5" s="17" t="str">
        <x:v>Leave &amp; PTO Control Center</x:v>
      </x:c>
      <x:c r="O5" s="17" t="str">
        <x:v>Leave &amp; PTO Control Center</x:v>
      </x:c>
      <x:c r="P5" s="17" t="str">
        <x:v>Leave &amp; PTO Control Center</x:v>
      </x:c>
      <x:c r="Q5" s="17" t="str">
        <x:v>Leave &amp; PTO Control Center</x:v>
      </x:c>
      <x:c r="R5" s="17" t="str">
        <x:v>Leave &amp; PTO Control Center</x:v>
      </x:c>
      <x:c r="S5" s="17" t="str">
        <x:v>Leave &amp; PTO Control Center</x:v>
      </x:c>
      <x:c r="T5" s="17" t="str">
        <x:v>Leave &amp; PTO Control Center</x:v>
      </x:c>
    </x:row>
    <x:row r="6" ht="24" customHeight="1">
      <x:c r="A6" s="18" t="str">
        <x:v>Leave &amp; PTO Control Center</x:v>
      </x:c>
      <x:c r="B6" s="18" t="str">
        <x:v>Leave &amp; PTO Control Center</x:v>
      </x:c>
      <x:c r="C6" s="18" t="str">
        <x:v>Leave &amp; PTO Control Center</x:v>
      </x:c>
      <x:c r="D6" s="18" t="str">
        <x:v>Leave &amp; PTO Control Center</x:v>
      </x:c>
      <x:c r="E6" s="18" t="str">
        <x:v>Leave &amp; PTO Control Center</x:v>
      </x:c>
      <x:c r="F6" s="18" t="str">
        <x:v>Leave &amp; PTO Control Center</x:v>
      </x:c>
      <x:c r="G6" s="18" t="str">
        <x:v>Leave &amp; PTO Control Center</x:v>
      </x:c>
      <x:c r="H6" s="18" t="str">
        <x:v>Leave &amp; PTO Control Center</x:v>
      </x:c>
      <x:c r="I6" s="18" t="str">
        <x:v>Leave &amp; PTO Control Center</x:v>
      </x:c>
      <x:c r="J6" s="18" t="str">
        <x:v>Leave &amp; PTO Control Center</x:v>
      </x:c>
      <x:c r="K6" s="18" t="str">
        <x:v>Leave &amp; PTO Control Center</x:v>
      </x:c>
      <x:c r="L6" s="18" t="str">
        <x:v>Leave &amp; PTO Control Center</x:v>
      </x:c>
      <x:c r="M6" s="18" t="str">
        <x:v>Leave &amp; PTO Control Center</x:v>
      </x:c>
      <x:c r="N6" s="18" t="str">
        <x:v>Leave &amp; PTO Control Center</x:v>
      </x:c>
      <x:c r="O6" s="18" t="str">
        <x:v>Leave &amp; PTO Control Center</x:v>
      </x:c>
      <x:c r="P6" s="18" t="str">
        <x:v>Leave &amp; PTO Control Center</x:v>
      </x:c>
      <x:c r="Q6" s="18" t="str">
        <x:v>Leave &amp; PTO Control Center</x:v>
      </x:c>
      <x:c r="R6" s="18" t="str">
        <x:v>Leave &amp; PTO Control Center</x:v>
      </x:c>
      <x:c r="S6" s="18" t="str">
        <x:v>Leave &amp; PTO Control Center</x:v>
      </x:c>
      <x:c r="T6" s="18" t="str">
        <x:v>Leave &amp; PTO Control Center</x:v>
      </x:c>
    </x:row>
    <x:row r="7" ht="18" customHeight="1">
      <x:c r="A7" s="20" t="str">
        <x:v>Approve time away with current balances, staffing impact, and next actions visible.</x:v>
      </x:c>
      <x:c r="B7" s="20" t="str">
        <x:v>Approve time away with current balances, staffing impact, and next actions visible.</x:v>
      </x:c>
      <x:c r="C7" s="20" t="str">
        <x:v>Approve time away with current balances, staffing impact, and next actions visible.</x:v>
      </x:c>
      <x:c r="D7" s="20" t="str">
        <x:v>Approve time away with current balances, staffing impact, and next actions visible.</x:v>
      </x:c>
      <x:c r="E7" s="20" t="str">
        <x:v>Approve time away with current balances, staffing impact, and next actions visible.</x:v>
      </x:c>
      <x:c r="F7" s="20" t="str">
        <x:v>Approve time away with current balances, staffing impact, and next actions visible.</x:v>
      </x:c>
      <x:c r="G7" s="20" t="str">
        <x:v>Approve time away with current balances, staffing impact, and next actions visible.</x:v>
      </x:c>
      <x:c r="H7" s="20" t="str">
        <x:v>Approve time away with current balances, staffing impact, and next actions visible.</x:v>
      </x:c>
      <x:c r="I7" s="20" t="str">
        <x:v>Approve time away with current balances, staffing impact, and next actions visible.</x:v>
      </x:c>
      <x:c r="J7" s="20" t="str">
        <x:v>Approve time away with current balances, staffing impact, and next actions visible.</x:v>
      </x:c>
      <x:c r="K7" s="20" t="str">
        <x:v>Approve time away with current balances, staffing impact, and next actions visible.</x:v>
      </x:c>
      <x:c r="L7" s="20" t="str">
        <x:v>Approve time away with current balances, staffing impact, and next actions visible.</x:v>
      </x:c>
      <x:c r="M7" s="20" t="str">
        <x:v>Approve time away with current balances, staffing impact, and next actions visible.</x:v>
      </x:c>
      <x:c r="N7" s="20" t="str">
        <x:v>Approve time away with current balances, staffing impact, and next actions visible.</x:v>
      </x:c>
      <x:c r="O7" s="20" t="str">
        <x:v>Approve time away with current balances, staffing impact, and next actions visible.</x:v>
      </x:c>
      <x:c r="P7" s="20" t="str">
        <x:v>Approve time away with current balances, staffing impact, and next actions visible.</x:v>
      </x:c>
      <x:c r="Q7" s="20" t="str">
        <x:v>Approve time away with current balances, staffing impact, and next actions visible.</x:v>
      </x:c>
      <x:c r="R7" s="20" t="str">
        <x:v>Approve time away with current balances, staffing impact, and next actions visible.</x:v>
      </x:c>
      <x:c r="S7" s="20" t="str">
        <x:v>Approve time away with current balances, staffing impact, and next actions visible.</x:v>
      </x:c>
      <x:c r="T7" s="20" t="str">
        <x:v>Approve time away with current balances, staffing impact, and next actions visible.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22" t="str">
        <x:v>CURRENT LEAVE PULSE</x:v>
      </x:c>
      <x:c r="B9" s="22" t="str">
        <x:v>CURRENT LEAVE PULSE</x:v>
      </x:c>
      <x:c r="C9" s="22" t="str">
        <x:v>CURRENT LEAVE PULSE</x:v>
      </x:c>
      <x:c r="D9" s="22" t="str">
        <x:v>CURRENT LEAVE PULSE</x:v>
      </x:c>
      <x:c r="E9" s="22" t="str">
        <x:v>CURRENT LEAVE PULSE</x:v>
      </x:c>
      <x:c r="F9" s="22" t="str">
        <x:v>CURRENT LEAVE PULSE</x:v>
      </x:c>
      <x:c r="G9" s="22" t="str">
        <x:v>CURRENT LEAVE PULSE</x:v>
      </x:c>
      <x:c r="H9" s="22" t="str">
        <x:v>CURRENT LEAVE PULSE</x:v>
      </x:c>
      <x:c r="I9" s="22" t="str">
        <x:v>CURRENT LEAVE PULSE</x:v>
      </x:c>
      <x:c r="J9" s="22" t="str">
        <x:v>CURRENT LEAVE PULSE</x:v>
      </x:c>
      <x:c r="K9" s="22" t="str">
        <x:v>CURRENT LEAVE PULSE</x:v>
      </x:c>
      <x:c r="L9" s="22" t="str">
        <x:v>CURRENT LEAVE PULSE</x:v>
      </x:c>
      <x:c r="M9" s="22" t="str">
        <x:v>CURRENT LEAVE PULSE</x:v>
      </x:c>
      <x:c r="N9" s="22" t="str">
        <x:v>CURRENT LEAVE PULSE</x:v>
      </x:c>
      <x:c r="O9" s="22" t="str">
        <x:v>CURRENT LEAVE PULSE</x:v>
      </x:c>
      <x:c r="P9" s="22" t="str">
        <x:v>CURRENT LEAVE PULSE</x:v>
      </x:c>
      <x:c r="Q9" s="22" t="str">
        <x:v>CURRENT LEAVE PULSE</x:v>
      </x:c>
      <x:c r="R9" s="22" t="str">
        <x:v>CURRENT LEAVE PULSE</x:v>
      </x:c>
      <x:c r="S9" s="22" t="str">
        <x:v>CURRENT LEAVE PULSE</x:v>
      </x:c>
      <x:c r="T9" s="22" t="str">
        <x:v>CURRENT LEAVE PULSE</x:v>
      </x:c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80" t="str">
        <x:v>Pending decisions</x:v>
      </x:c>
      <x:c r="B11" s="80" t="str">
        <x:v>Pending decisions</x:v>
      </x:c>
      <x:c r="C11" s="80" t="str">
        <x:v>Pending decisions</x:v>
      </x:c>
      <x:c r="D11" s="80" t="str">
        <x:v>Pending decisions</x:v>
      </x:c>
      <x:c r="E11" s="4"/>
      <x:c r="F11" s="109" t="str">
        <x:v>Approved days</x:v>
      </x:c>
      <x:c r="G11" s="109" t="str">
        <x:v>Approved days</x:v>
      </x:c>
      <x:c r="H11" s="109" t="str">
        <x:v>Approved days</x:v>
      </x:c>
      <x:c r="I11" s="109" t="str">
        <x:v>Approved days</x:v>
      </x:c>
      <x:c r="J11" s="109" t="str">
        <x:v>Approved days</x:v>
      </x:c>
      <x:c r="K11" s="4"/>
      <x:c r="L11" s="128" t="str">
        <x:v>Away today</x:v>
      </x:c>
      <x:c r="M11" s="128" t="str">
        <x:v>Away today</x:v>
      </x:c>
      <x:c r="N11" s="128" t="str">
        <x:v>Away today</x:v>
      </x:c>
      <x:c r="O11" s="128" t="str">
        <x:v>Away today</x:v>
      </x:c>
      <x:c r="P11" s="4"/>
      <x:c r="Q11" s="131" t="str">
        <x:v>Balance alerts</x:v>
      </x:c>
      <x:c r="R11" s="131" t="str">
        <x:v>Balance alerts</x:v>
      </x:c>
      <x:c r="S11" s="131" t="str">
        <x:v>Balance alerts</x:v>
      </x:c>
      <x:c r="T11" s="131" t="str">
        <x:v>Balance alerts</x:v>
      </x:c>
    </x:row>
    <x:row r="12">
      <x:c r="A12" s="100" t="n">
        <x:f>COUNTIF('REQUESTS'!$J$11:$J$90,"Pending")</x:f>
        <x:v>3</x:v>
      </x:c>
      <x:c r="B12" s="101"/>
      <x:c r="C12" s="101"/>
      <x:c r="D12" s="102"/>
      <x:c r="E12" s="4"/>
      <x:c r="F12" s="119" t="n">
        <x:f>SUMIF('REQUESTS'!$J$11:$J$90,"Approved",'REQUESTS'!$I$11:$I$90)</x:f>
        <x:v>28.5</x:v>
      </x:c>
      <x:c r="G12" s="120"/>
      <x:c r="H12" s="120"/>
      <x:c r="I12" s="120"/>
      <x:c r="J12" s="121"/>
      <x:c r="K12" s="4"/>
      <x:c r="L12" s="100" t="n">
        <x:f>COUNTIFS('REQUESTS'!$F$11:$F$90,"&lt;="&amp;'SETUP'!$D$13,'REQUESTS'!$G$11:$G$90,"&gt;="&amp;'SETUP'!$D$13,'REQUESTS'!$J$11:$J$90,"Approved")</x:f>
        <x:v>0</x:v>
      </x:c>
      <x:c r="M12" s="101"/>
      <x:c r="N12" s="101"/>
      <x:c r="O12" s="102"/>
      <x:c r="P12" s="4"/>
      <x:c r="Q12" s="100" t="n">
        <x:f>COUNTIF('BALANCES'!$K$11:$K$90,"At Risk")+COUNTIF('BALANCES'!$K$11:$K$90,"Low")</x:f>
        <x:v>0</x:v>
      </x:c>
      <x:c r="R12" s="101"/>
      <x:c r="S12" s="101"/>
      <x:c r="T12" s="102"/>
    </x:row>
    <x:row r="13">
      <x:c r="A13" s="103"/>
      <x:c r="B13" s="104"/>
      <x:c r="C13" s="104"/>
      <x:c r="D13" s="105"/>
      <x:c r="E13" s="4"/>
      <x:c r="F13" s="122"/>
      <x:c r="G13" s="123"/>
      <x:c r="H13" s="123"/>
      <x:c r="I13" s="123"/>
      <x:c r="J13" s="124"/>
      <x:c r="K13" s="4"/>
      <x:c r="L13" s="103"/>
      <x:c r="M13" s="104"/>
      <x:c r="N13" s="104"/>
      <x:c r="O13" s="105"/>
      <x:c r="P13" s="4"/>
      <x:c r="Q13" s="103"/>
      <x:c r="R13" s="104"/>
      <x:c r="S13" s="104"/>
      <x:c r="T13" s="105"/>
    </x:row>
    <x:row r="14">
      <x:c r="A14" s="106"/>
      <x:c r="B14" s="107"/>
      <x:c r="C14" s="107"/>
      <x:c r="D14" s="108"/>
      <x:c r="E14" s="4"/>
      <x:c r="F14" s="125"/>
      <x:c r="G14" s="126"/>
      <x:c r="H14" s="126"/>
      <x:c r="I14" s="126"/>
      <x:c r="J14" s="127"/>
      <x:c r="K14" s="4"/>
      <x:c r="L14" s="106"/>
      <x:c r="M14" s="107"/>
      <x:c r="N14" s="107"/>
      <x:c r="O14" s="108"/>
      <x:c r="P14" s="4"/>
      <x:c r="Q14" s="106"/>
      <x:c r="R14" s="107"/>
      <x:c r="S14" s="107"/>
      <x:c r="T14" s="108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22" t="str">
        <x:v>CONTROL WORKSPACE</x:v>
      </x:c>
      <x:c r="B17" s="22" t="str">
        <x:v>CONTROL WORKSPACE</x:v>
      </x:c>
      <x:c r="C17" s="22" t="str">
        <x:v>CONTROL WORKSPACE</x:v>
      </x:c>
      <x:c r="D17" s="22" t="str">
        <x:v>CONTROL WORKSPACE</x:v>
      </x:c>
      <x:c r="E17" s="22" t="str">
        <x:v>CONTROL WORKSPACE</x:v>
      </x:c>
      <x:c r="F17" s="22" t="str">
        <x:v>CONTROL WORKSPACE</x:v>
      </x:c>
      <x:c r="G17" s="22" t="str">
        <x:v>CONTROL WORKSPACE</x:v>
      </x:c>
      <x:c r="H17" s="22" t="str">
        <x:v>CONTROL WORKSPACE</x:v>
      </x:c>
      <x:c r="I17" s="22" t="str">
        <x:v>CONTROL WORKSPACE</x:v>
      </x:c>
      <x:c r="J17" s="22" t="str">
        <x:v>CONTROL WORKSPACE</x:v>
      </x:c>
      <x:c r="K17" s="22" t="str">
        <x:v>CONTROL WORKSPACE</x:v>
      </x:c>
      <x:c r="L17" s="22" t="str">
        <x:v>CONTROL WORKSPACE</x:v>
      </x:c>
      <x:c r="M17" s="22" t="str">
        <x:v>CONTROL WORKSPACE</x:v>
      </x:c>
      <x:c r="N17" s="22" t="str">
        <x:v>CONTROL WORKSPACE</x:v>
      </x:c>
      <x:c r="O17" s="22" t="str">
        <x:v>CONTROL WORKSPACE</x:v>
      </x:c>
      <x:c r="P17" s="22" t="str">
        <x:v>CONTROL WORKSPACE</x:v>
      </x:c>
      <x:c r="Q17" s="22" t="str">
        <x:v>CONTROL WORKSPACE</x:v>
      </x:c>
      <x:c r="R17" s="22" t="str">
        <x:v>CONTROL WORKSPACE</x:v>
      </x:c>
      <x:c r="S17" s="22" t="str">
        <x:v>CONTROL WORKSPACE</x:v>
      </x:c>
      <x:c r="T17" s="22" t="str">
        <x:v>CONTROL WORKSPACE</x:v>
      </x:c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143" t="str">
        <x:v>Decide with context
See balances, overlap, and staffing impact before approval.</x:v>
      </x:c>
      <x:c r="B19" s="144" t="str">
        <x:v>Decide with context
See balances, overlap, and staffing impact before approval.</x:v>
      </x:c>
      <x:c r="C19" s="144" t="str">
        <x:v>Decide with context
See balances, overlap, and staffing impact before approval.</x:v>
      </x:c>
      <x:c r="D19" s="144" t="str">
        <x:v>Decide with context
See balances, overlap, and staffing impact before approval.</x:v>
      </x:c>
      <x:c r="E19" s="145" t="str">
        <x:v>Decide with context
See balances, overlap, and staffing impact before approval.</x:v>
      </x:c>
      <x:c r="F19" s="161" t="str">
        <x:v>Protect coverage
Test a department and date against its minimum staffing floor.</x:v>
      </x:c>
      <x:c r="G19" s="162" t="str">
        <x:v>Protect coverage
Test a department and date against its minimum staffing floor.</x:v>
      </x:c>
      <x:c r="H19" s="162" t="str">
        <x:v>Protect coverage
Test a department and date against its minimum staffing floor.</x:v>
      </x:c>
      <x:c r="I19" s="162" t="str">
        <x:v>Protect coverage
Test a department and date against its minimum staffing floor.</x:v>
      </x:c>
      <x:c r="J19" s="163" t="str">
        <x:v>Protect coverage
Test a department and date against its minimum staffing floor.</x:v>
      </x:c>
      <x:c r="K19" s="179" t="str">
        <x:v>Keep balances live
Approved and pending requests flow into every employee balance.</x:v>
      </x:c>
      <x:c r="L19" s="180" t="str">
        <x:v>Keep balances live
Approved and pending requests flow into every employee balance.</x:v>
      </x:c>
      <x:c r="M19" s="180" t="str">
        <x:v>Keep balances live
Approved and pending requests flow into every employee balance.</x:v>
      </x:c>
      <x:c r="N19" s="180" t="str">
        <x:v>Keep balances live
Approved and pending requests flow into every employee balance.</x:v>
      </x:c>
      <x:c r="O19" s="181" t="str">
        <x:v>Keep balances live
Approved and pending requests flow into every employee balance.</x:v>
      </x:c>
      <x:c r="P19" s="198" t="str">
        <x:v>Audit the process
Surface missing fields, duplicate IDs, invalid dates, and reconciliation gaps.</x:v>
      </x:c>
      <x:c r="Q19" s="199" t="str">
        <x:v>Audit the process
Surface missing fields, duplicate IDs, invalid dates, and reconciliation gaps.</x:v>
      </x:c>
      <x:c r="R19" s="199" t="str">
        <x:v>Audit the process
Surface missing fields, duplicate IDs, invalid dates, and reconciliation gaps.</x:v>
      </x:c>
      <x:c r="S19" s="199" t="str">
        <x:v>Audit the process
Surface missing fields, duplicate IDs, invalid dates, and reconciliation gaps.</x:v>
      </x:c>
      <x:c r="T19" s="200" t="str">
        <x:v>Audit the process
Surface missing fields, duplicate IDs, invalid dates, and reconciliation gaps.</x:v>
      </x:c>
    </x:row>
    <x:row r="20">
      <x:c r="A20" s="146" t="str">
        <x:v>Decide with context
See balances, overlap, and staffing impact before approval.</x:v>
      </x:c>
      <x:c r="B20" s="147" t="str">
        <x:v>Decide with context
See balances, overlap, and staffing impact before approval.</x:v>
      </x:c>
      <x:c r="C20" s="147" t="str">
        <x:v>Decide with context
See balances, overlap, and staffing impact before approval.</x:v>
      </x:c>
      <x:c r="D20" s="147" t="str">
        <x:v>Decide with context
See balances, overlap, and staffing impact before approval.</x:v>
      </x:c>
      <x:c r="E20" s="148" t="str">
        <x:v>Decide with context
See balances, overlap, and staffing impact before approval.</x:v>
      </x:c>
      <x:c r="F20" s="164" t="str">
        <x:v>Protect coverage
Test a department and date against its minimum staffing floor.</x:v>
      </x:c>
      <x:c r="G20" s="165" t="str">
        <x:v>Protect coverage
Test a department and date against its minimum staffing floor.</x:v>
      </x:c>
      <x:c r="H20" s="165" t="str">
        <x:v>Protect coverage
Test a department and date against its minimum staffing floor.</x:v>
      </x:c>
      <x:c r="I20" s="165" t="str">
        <x:v>Protect coverage
Test a department and date against its minimum staffing floor.</x:v>
      </x:c>
      <x:c r="J20" s="166" t="str">
        <x:v>Protect coverage
Test a department and date against its minimum staffing floor.</x:v>
      </x:c>
      <x:c r="K20" s="182" t="str">
        <x:v>Keep balances live
Approved and pending requests flow into every employee balance.</x:v>
      </x:c>
      <x:c r="L20" s="183" t="str">
        <x:v>Keep balances live
Approved and pending requests flow into every employee balance.</x:v>
      </x:c>
      <x:c r="M20" s="183" t="str">
        <x:v>Keep balances live
Approved and pending requests flow into every employee balance.</x:v>
      </x:c>
      <x:c r="N20" s="183" t="str">
        <x:v>Keep balances live
Approved and pending requests flow into every employee balance.</x:v>
      </x:c>
      <x:c r="O20" s="184" t="str">
        <x:v>Keep balances live
Approved and pending requests flow into every employee balance.</x:v>
      </x:c>
      <x:c r="P20" s="201" t="str">
        <x:v>Audit the process
Surface missing fields, duplicate IDs, invalid dates, and reconciliation gaps.</x:v>
      </x:c>
      <x:c r="Q20" s="202" t="str">
        <x:v>Audit the process
Surface missing fields, duplicate IDs, invalid dates, and reconciliation gaps.</x:v>
      </x:c>
      <x:c r="R20" s="202" t="str">
        <x:v>Audit the process
Surface missing fields, duplicate IDs, invalid dates, and reconciliation gaps.</x:v>
      </x:c>
      <x:c r="S20" s="202" t="str">
        <x:v>Audit the process
Surface missing fields, duplicate IDs, invalid dates, and reconciliation gaps.</x:v>
      </x:c>
      <x:c r="T20" s="203" t="str">
        <x:v>Audit the process
Surface missing fields, duplicate IDs, invalid dates, and reconciliation gaps.</x:v>
      </x:c>
    </x:row>
    <x:row r="21">
      <x:c r="A21" s="146" t="str">
        <x:v>Decide with context
See balances, overlap, and staffing impact before approval.</x:v>
      </x:c>
      <x:c r="B21" s="147" t="str">
        <x:v>Decide with context
See balances, overlap, and staffing impact before approval.</x:v>
      </x:c>
      <x:c r="C21" s="147" t="str">
        <x:v>Decide with context
See balances, overlap, and staffing impact before approval.</x:v>
      </x:c>
      <x:c r="D21" s="147" t="str">
        <x:v>Decide with context
See balances, overlap, and staffing impact before approval.</x:v>
      </x:c>
      <x:c r="E21" s="148" t="str">
        <x:v>Decide with context
See balances, overlap, and staffing impact before approval.</x:v>
      </x:c>
      <x:c r="F21" s="164" t="str">
        <x:v>Protect coverage
Test a department and date against its minimum staffing floor.</x:v>
      </x:c>
      <x:c r="G21" s="165" t="str">
        <x:v>Protect coverage
Test a department and date against its minimum staffing floor.</x:v>
      </x:c>
      <x:c r="H21" s="165" t="str">
        <x:v>Protect coverage
Test a department and date against its minimum staffing floor.</x:v>
      </x:c>
      <x:c r="I21" s="165" t="str">
        <x:v>Protect coverage
Test a department and date against its minimum staffing floor.</x:v>
      </x:c>
      <x:c r="J21" s="166" t="str">
        <x:v>Protect coverage
Test a department and date against its minimum staffing floor.</x:v>
      </x:c>
      <x:c r="K21" s="182" t="str">
        <x:v>Keep balances live
Approved and pending requests flow into every employee balance.</x:v>
      </x:c>
      <x:c r="L21" s="183" t="str">
        <x:v>Keep balances live
Approved and pending requests flow into every employee balance.</x:v>
      </x:c>
      <x:c r="M21" s="183" t="str">
        <x:v>Keep balances live
Approved and pending requests flow into every employee balance.</x:v>
      </x:c>
      <x:c r="N21" s="183" t="str">
        <x:v>Keep balances live
Approved and pending requests flow into every employee balance.</x:v>
      </x:c>
      <x:c r="O21" s="184" t="str">
        <x:v>Keep balances live
Approved and pending requests flow into every employee balance.</x:v>
      </x:c>
      <x:c r="P21" s="201" t="str">
        <x:v>Audit the process
Surface missing fields, duplicate IDs, invalid dates, and reconciliation gaps.</x:v>
      </x:c>
      <x:c r="Q21" s="202" t="str">
        <x:v>Audit the process
Surface missing fields, duplicate IDs, invalid dates, and reconciliation gaps.</x:v>
      </x:c>
      <x:c r="R21" s="202" t="str">
        <x:v>Audit the process
Surface missing fields, duplicate IDs, invalid dates, and reconciliation gaps.</x:v>
      </x:c>
      <x:c r="S21" s="202" t="str">
        <x:v>Audit the process
Surface missing fields, duplicate IDs, invalid dates, and reconciliation gaps.</x:v>
      </x:c>
      <x:c r="T21" s="203" t="str">
        <x:v>Audit the process
Surface missing fields, duplicate IDs, invalid dates, and reconciliation gaps.</x:v>
      </x:c>
    </x:row>
    <x:row r="22">
      <x:c r="A22" s="146" t="str">
        <x:v>Decide with context
See balances, overlap, and staffing impact before approval.</x:v>
      </x:c>
      <x:c r="B22" s="147" t="str">
        <x:v>Decide with context
See balances, overlap, and staffing impact before approval.</x:v>
      </x:c>
      <x:c r="C22" s="147" t="str">
        <x:v>Decide with context
See balances, overlap, and staffing impact before approval.</x:v>
      </x:c>
      <x:c r="D22" s="147" t="str">
        <x:v>Decide with context
See balances, overlap, and staffing impact before approval.</x:v>
      </x:c>
      <x:c r="E22" s="148" t="str">
        <x:v>Decide with context
See balances, overlap, and staffing impact before approval.</x:v>
      </x:c>
      <x:c r="F22" s="164" t="str">
        <x:v>Protect coverage
Test a department and date against its minimum staffing floor.</x:v>
      </x:c>
      <x:c r="G22" s="165" t="str">
        <x:v>Protect coverage
Test a department and date against its minimum staffing floor.</x:v>
      </x:c>
      <x:c r="H22" s="165" t="str">
        <x:v>Protect coverage
Test a department and date against its minimum staffing floor.</x:v>
      </x:c>
      <x:c r="I22" s="165" t="str">
        <x:v>Protect coverage
Test a department and date against its minimum staffing floor.</x:v>
      </x:c>
      <x:c r="J22" s="166" t="str">
        <x:v>Protect coverage
Test a department and date against its minimum staffing floor.</x:v>
      </x:c>
      <x:c r="K22" s="182" t="str">
        <x:v>Keep balances live
Approved and pending requests flow into every employee balance.</x:v>
      </x:c>
      <x:c r="L22" s="183" t="str">
        <x:v>Keep balances live
Approved and pending requests flow into every employee balance.</x:v>
      </x:c>
      <x:c r="M22" s="183" t="str">
        <x:v>Keep balances live
Approved and pending requests flow into every employee balance.</x:v>
      </x:c>
      <x:c r="N22" s="183" t="str">
        <x:v>Keep balances live
Approved and pending requests flow into every employee balance.</x:v>
      </x:c>
      <x:c r="O22" s="184" t="str">
        <x:v>Keep balances live
Approved and pending requests flow into every employee balance.</x:v>
      </x:c>
      <x:c r="P22" s="201" t="str">
        <x:v>Audit the process
Surface missing fields, duplicate IDs, invalid dates, and reconciliation gaps.</x:v>
      </x:c>
      <x:c r="Q22" s="202" t="str">
        <x:v>Audit the process
Surface missing fields, duplicate IDs, invalid dates, and reconciliation gaps.</x:v>
      </x:c>
      <x:c r="R22" s="202" t="str">
        <x:v>Audit the process
Surface missing fields, duplicate IDs, invalid dates, and reconciliation gaps.</x:v>
      </x:c>
      <x:c r="S22" s="202" t="str">
        <x:v>Audit the process
Surface missing fields, duplicate IDs, invalid dates, and reconciliation gaps.</x:v>
      </x:c>
      <x:c r="T22" s="203" t="str">
        <x:v>Audit the process
Surface missing fields, duplicate IDs, invalid dates, and reconciliation gaps.</x:v>
      </x:c>
    </x:row>
    <x:row r="23">
      <x:c r="A23" s="149" t="str">
        <x:v>Decide with context
See balances, overlap, and staffing impact before approval.</x:v>
      </x:c>
      <x:c r="B23" s="150" t="str">
        <x:v>Decide with context
See balances, overlap, and staffing impact before approval.</x:v>
      </x:c>
      <x:c r="C23" s="150" t="str">
        <x:v>Decide with context
See balances, overlap, and staffing impact before approval.</x:v>
      </x:c>
      <x:c r="D23" s="150" t="str">
        <x:v>Decide with context
See balances, overlap, and staffing impact before approval.</x:v>
      </x:c>
      <x:c r="E23" s="151" t="str">
        <x:v>Decide with context
See balances, overlap, and staffing impact before approval.</x:v>
      </x:c>
      <x:c r="F23" s="167" t="str">
        <x:v>Protect coverage
Test a department and date against its minimum staffing floor.</x:v>
      </x:c>
      <x:c r="G23" s="168" t="str">
        <x:v>Protect coverage
Test a department and date against its minimum staffing floor.</x:v>
      </x:c>
      <x:c r="H23" s="168" t="str">
        <x:v>Protect coverage
Test a department and date against its minimum staffing floor.</x:v>
      </x:c>
      <x:c r="I23" s="168" t="str">
        <x:v>Protect coverage
Test a department and date against its minimum staffing floor.</x:v>
      </x:c>
      <x:c r="J23" s="169" t="str">
        <x:v>Protect coverage
Test a department and date against its minimum staffing floor.</x:v>
      </x:c>
      <x:c r="K23" s="185" t="str">
        <x:v>Keep balances live
Approved and pending requests flow into every employee balance.</x:v>
      </x:c>
      <x:c r="L23" s="186" t="str">
        <x:v>Keep balances live
Approved and pending requests flow into every employee balance.</x:v>
      </x:c>
      <x:c r="M23" s="186" t="str">
        <x:v>Keep balances live
Approved and pending requests flow into every employee balance.</x:v>
      </x:c>
      <x:c r="N23" s="186" t="str">
        <x:v>Keep balances live
Approved and pending requests flow into every employee balance.</x:v>
      </x:c>
      <x:c r="O23" s="187" t="str">
        <x:v>Keep balances live
Approved and pending requests flow into every employee balance.</x:v>
      </x:c>
      <x:c r="P23" s="204" t="str">
        <x:v>Audit the process
Surface missing fields, duplicate IDs, invalid dates, and reconciliation gaps.</x:v>
      </x:c>
      <x:c r="Q23" s="205" t="str">
        <x:v>Audit the process
Surface missing fields, duplicate IDs, invalid dates, and reconciliation gaps.</x:v>
      </x:c>
      <x:c r="R23" s="205" t="str">
        <x:v>Audit the process
Surface missing fields, duplicate IDs, invalid dates, and reconciliation gaps.</x:v>
      </x:c>
      <x:c r="S23" s="205" t="str">
        <x:v>Audit the process
Surface missing fields, duplicate IDs, invalid dates, and reconciliation gaps.</x:v>
      </x:c>
      <x:c r="T23" s="206" t="str">
        <x:v>Audit the process
Surface missing fields, duplicate IDs, invalid dates, and reconciliation gaps.</x:v>
      </x:c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22" t="str">
        <x:v>WORKFLOW THAT PROTECTS PEOPLE AND COVERAGE</x:v>
      </x:c>
      <x:c r="B26" s="22" t="str">
        <x:v>WORKFLOW THAT PROTECTS PEOPLE AND COVERAGE</x:v>
      </x:c>
      <x:c r="C26" s="22" t="str">
        <x:v>WORKFLOW THAT PROTECTS PEOPLE AND COVERAGE</x:v>
      </x:c>
      <x:c r="D26" s="22" t="str">
        <x:v>WORKFLOW THAT PROTECTS PEOPLE AND COVERAGE</x:v>
      </x:c>
      <x:c r="E26" s="22" t="str">
        <x:v>WORKFLOW THAT PROTECTS PEOPLE AND COVERAGE</x:v>
      </x:c>
      <x:c r="F26" s="22" t="str">
        <x:v>WORKFLOW THAT PROTECTS PEOPLE AND COVERAGE</x:v>
      </x:c>
      <x:c r="G26" s="22" t="str">
        <x:v>WORKFLOW THAT PROTECTS PEOPLE AND COVERAGE</x:v>
      </x:c>
      <x:c r="H26" s="22" t="str">
        <x:v>WORKFLOW THAT PROTECTS PEOPLE AND COVERAGE</x:v>
      </x:c>
      <x:c r="I26" s="22" t="str">
        <x:v>WORKFLOW THAT PROTECTS PEOPLE AND COVERAGE</x:v>
      </x:c>
      <x:c r="J26" s="22" t="str">
        <x:v>WORKFLOW THAT PROTECTS PEOPLE AND COVERAGE</x:v>
      </x:c>
      <x:c r="K26" s="22" t="str">
        <x:v>WORKFLOW THAT PROTECTS PEOPLE AND COVERAGE</x:v>
      </x:c>
      <x:c r="L26" s="22" t="str">
        <x:v>WORKFLOW THAT PROTECTS PEOPLE AND COVERAGE</x:v>
      </x:c>
      <x:c r="M26" s="22" t="str">
        <x:v>WORKFLOW THAT PROTECTS PEOPLE AND COVERAGE</x:v>
      </x:c>
      <x:c r="N26" s="22" t="str">
        <x:v>WORKFLOW THAT PROTECTS PEOPLE AND COVERAGE</x:v>
      </x:c>
      <x:c r="O26" s="22" t="str">
        <x:v>WORKFLOW THAT PROTECTS PEOPLE AND COVERAGE</x:v>
      </x:c>
      <x:c r="P26" s="22" t="str">
        <x:v>WORKFLOW THAT PROTECTS PEOPLE AND COVERAGE</x:v>
      </x:c>
      <x:c r="Q26" s="22" t="str">
        <x:v>WORKFLOW THAT PROTECTS PEOPLE AND COVERAGE</x:v>
      </x:c>
      <x:c r="R26" s="22" t="str">
        <x:v>WORKFLOW THAT PROTECTS PEOPLE AND COVERAGE</x:v>
      </x:c>
      <x:c r="S26" s="22" t="str">
        <x:v>WORKFLOW THAT PROTECTS PEOPLE AND COVERAGE</x:v>
      </x:c>
      <x:c r="T26" s="22" t="str">
        <x:v>WORKFLOW THAT PROTECTS PEOPLE AND COVERAGE</x:v>
      </x:c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56" t="str">
        <x:v>1. Confirm plan dates, policies, departments, and staffing floors in SETUP.</x:v>
      </x:c>
      <x:c r="B28" s="56" t="str">
        <x:v>1. Confirm plan dates, policies, departments, and staffing floors in SETUP.</x:v>
      </x:c>
      <x:c r="C28" s="56" t="str">
        <x:v>1. Confirm plan dates, policies, departments, and staffing floors in SETUP.</x:v>
      </x:c>
      <x:c r="D28" s="56" t="str">
        <x:v>1. Confirm plan dates, policies, departments, and staffing floors in SETUP.</x:v>
      </x:c>
      <x:c r="E28" s="56" t="str">
        <x:v>1. Confirm plan dates, policies, departments, and staffing floors in SETUP.</x:v>
      </x:c>
      <x:c r="F28" s="56" t="str">
        <x:v>1. Confirm plan dates, policies, departments, and staffing floors in SETUP.</x:v>
      </x:c>
      <x:c r="G28" s="56" t="str">
        <x:v>1. Confirm plan dates, policies, departments, and staffing floors in SETUP.</x:v>
      </x:c>
      <x:c r="H28" s="56" t="str">
        <x:v>1. Confirm plan dates, policies, departments, and staffing floors in SETUP.</x:v>
      </x:c>
      <x:c r="I28" s="56" t="str">
        <x:v>1. Confirm plan dates, policies, departments, and staffing floors in SETUP.</x:v>
      </x:c>
      <x:c r="J28" s="56" t="str">
        <x:v>1. Confirm plan dates, policies, departments, and staffing floors in SETUP.</x:v>
      </x:c>
      <x:c r="K28" s="56" t="str">
        <x:v>1. Confirm plan dates, policies, departments, and staffing floors in SETUP.</x:v>
      </x:c>
      <x:c r="L28" s="56" t="str">
        <x:v>1. Confirm plan dates, policies, departments, and staffing floors in SETUP.</x:v>
      </x:c>
      <x:c r="M28" s="56" t="str">
        <x:v>1. Confirm plan dates, policies, departments, and staffing floors in SETUP.</x:v>
      </x:c>
      <x:c r="N28" s="56" t="str">
        <x:v>1. Confirm plan dates, policies, departments, and staffing floors in SETUP.</x:v>
      </x:c>
      <x:c r="O28" s="56" t="str">
        <x:v>1. Confirm plan dates, policies, departments, and staffing floors in SETUP.</x:v>
      </x:c>
      <x:c r="P28" s="56" t="str">
        <x:v>1. Confirm plan dates, policies, departments, and staffing floors in SETUP.</x:v>
      </x:c>
      <x:c r="Q28" s="56" t="str">
        <x:v>1. Confirm plan dates, policies, departments, and staffing floors in SETUP.</x:v>
      </x:c>
      <x:c r="R28" s="56" t="str">
        <x:v>1. Confirm plan dates, policies, departments, and staffing floors in SETUP.</x:v>
      </x:c>
      <x:c r="S28" s="56" t="str">
        <x:v>1. Confirm plan dates, policies, departments, and staffing floors in SETUP.</x:v>
      </x:c>
      <x:c r="T28" s="56" t="str">
        <x:v>1. Confirm plan dates, policies, departments, and staffing floors in SETUP.</x:v>
      </x:c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207" t="str">
        <x:v>2. Maintain active employees and FTE values in EMPLOYEES.</x:v>
      </x:c>
      <x:c r="B30" s="207" t="str">
        <x:v>2. Maintain active employees and FTE values in EMPLOYEES.</x:v>
      </x:c>
      <x:c r="C30" s="207" t="str">
        <x:v>2. Maintain active employees and FTE values in EMPLOYEES.</x:v>
      </x:c>
      <x:c r="D30" s="207" t="str">
        <x:v>2. Maintain active employees and FTE values in EMPLOYEES.</x:v>
      </x:c>
      <x:c r="E30" s="207" t="str">
        <x:v>2. Maintain active employees and FTE values in EMPLOYEES.</x:v>
      </x:c>
      <x:c r="F30" s="207" t="str">
        <x:v>2. Maintain active employees and FTE values in EMPLOYEES.</x:v>
      </x:c>
      <x:c r="G30" s="207" t="str">
        <x:v>2. Maintain active employees and FTE values in EMPLOYEES.</x:v>
      </x:c>
      <x:c r="H30" s="207" t="str">
        <x:v>2. Maintain active employees and FTE values in EMPLOYEES.</x:v>
      </x:c>
      <x:c r="I30" s="207" t="str">
        <x:v>2. Maintain active employees and FTE values in EMPLOYEES.</x:v>
      </x:c>
      <x:c r="J30" s="207" t="str">
        <x:v>2. Maintain active employees and FTE values in EMPLOYEES.</x:v>
      </x:c>
      <x:c r="K30" s="207" t="str">
        <x:v>2. Maintain active employees and FTE values in EMPLOYEES.</x:v>
      </x:c>
      <x:c r="L30" s="207" t="str">
        <x:v>2. Maintain active employees and FTE values in EMPLOYEES.</x:v>
      </x:c>
      <x:c r="M30" s="207" t="str">
        <x:v>2. Maintain active employees and FTE values in EMPLOYEES.</x:v>
      </x:c>
      <x:c r="N30" s="207" t="str">
        <x:v>2. Maintain active employees and FTE values in EMPLOYEES.</x:v>
      </x:c>
      <x:c r="O30" s="207" t="str">
        <x:v>2. Maintain active employees and FTE values in EMPLOYEES.</x:v>
      </x:c>
      <x:c r="P30" s="207" t="str">
        <x:v>2. Maintain active employees and FTE values in EMPLOYEES.</x:v>
      </x:c>
      <x:c r="Q30" s="207" t="str">
        <x:v>2. Maintain active employees and FTE values in EMPLOYEES.</x:v>
      </x:c>
      <x:c r="R30" s="207" t="str">
        <x:v>2. Maintain active employees and FTE values in EMPLOYEES.</x:v>
      </x:c>
      <x:c r="S30" s="207" t="str">
        <x:v>2. Maintain active employees and FTE values in EMPLOYEES.</x:v>
      </x:c>
      <x:c r="T30" s="207" t="str">
        <x:v>2. Maintain active employees and FTE values in EMPLOYEES.</x:v>
      </x:c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56" t="str">
        <x:v>3. Log every request once in REQUESTS and update its decision status.</x:v>
      </x:c>
      <x:c r="B32" s="56" t="str">
        <x:v>3. Log every request once in REQUESTS and update its decision status.</x:v>
      </x:c>
      <x:c r="C32" s="56" t="str">
        <x:v>3. Log every request once in REQUESTS and update its decision status.</x:v>
      </x:c>
      <x:c r="D32" s="56" t="str">
        <x:v>3. Log every request once in REQUESTS and update its decision status.</x:v>
      </x:c>
      <x:c r="E32" s="56" t="str">
        <x:v>3. Log every request once in REQUESTS and update its decision status.</x:v>
      </x:c>
      <x:c r="F32" s="56" t="str">
        <x:v>3. Log every request once in REQUESTS and update its decision status.</x:v>
      </x:c>
      <x:c r="G32" s="56" t="str">
        <x:v>3. Log every request once in REQUESTS and update its decision status.</x:v>
      </x:c>
      <x:c r="H32" s="56" t="str">
        <x:v>3. Log every request once in REQUESTS and update its decision status.</x:v>
      </x:c>
      <x:c r="I32" s="56" t="str">
        <x:v>3. Log every request once in REQUESTS and update its decision status.</x:v>
      </x:c>
      <x:c r="J32" s="56" t="str">
        <x:v>3. Log every request once in REQUESTS and update its decision status.</x:v>
      </x:c>
      <x:c r="K32" s="56" t="str">
        <x:v>3. Log every request once in REQUESTS and update its decision status.</x:v>
      </x:c>
      <x:c r="L32" s="56" t="str">
        <x:v>3. Log every request once in REQUESTS and update its decision status.</x:v>
      </x:c>
      <x:c r="M32" s="56" t="str">
        <x:v>3. Log every request once in REQUESTS and update its decision status.</x:v>
      </x:c>
      <x:c r="N32" s="56" t="str">
        <x:v>3. Log every request once in REQUESTS and update its decision status.</x:v>
      </x:c>
      <x:c r="O32" s="56" t="str">
        <x:v>3. Log every request once in REQUESTS and update its decision status.</x:v>
      </x:c>
      <x:c r="P32" s="56" t="str">
        <x:v>3. Log every request once in REQUESTS and update its decision status.</x:v>
      </x:c>
      <x:c r="Q32" s="56" t="str">
        <x:v>3. Log every request once in REQUESTS and update its decision status.</x:v>
      </x:c>
      <x:c r="R32" s="56" t="str">
        <x:v>3. Log every request once in REQUESTS and update its decision status.</x:v>
      </x:c>
      <x:c r="S32" s="56" t="str">
        <x:v>3. Log every request once in REQUESTS and update its decision status.</x:v>
      </x:c>
      <x:c r="T32" s="56" t="str">
        <x:v>3. Log every request once in REQUESTS and update its decision status.</x:v>
      </x:c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207" t="str">
        <x:v>4. Review BALANCES and COVERAGE before approving overlapping time away.</x:v>
      </x:c>
      <x:c r="B34" s="207" t="str">
        <x:v>4. Review BALANCES and COVERAGE before approving overlapping time away.</x:v>
      </x:c>
      <x:c r="C34" s="207" t="str">
        <x:v>4. Review BALANCES and COVERAGE before approving overlapping time away.</x:v>
      </x:c>
      <x:c r="D34" s="207" t="str">
        <x:v>4. Review BALANCES and COVERAGE before approving overlapping time away.</x:v>
      </x:c>
      <x:c r="E34" s="207" t="str">
        <x:v>4. Review BALANCES and COVERAGE before approving overlapping time away.</x:v>
      </x:c>
      <x:c r="F34" s="207" t="str">
        <x:v>4. Review BALANCES and COVERAGE before approving overlapping time away.</x:v>
      </x:c>
      <x:c r="G34" s="207" t="str">
        <x:v>4. Review BALANCES and COVERAGE before approving overlapping time away.</x:v>
      </x:c>
      <x:c r="H34" s="207" t="str">
        <x:v>4. Review BALANCES and COVERAGE before approving overlapping time away.</x:v>
      </x:c>
      <x:c r="I34" s="207" t="str">
        <x:v>4. Review BALANCES and COVERAGE before approving overlapping time away.</x:v>
      </x:c>
      <x:c r="J34" s="207" t="str">
        <x:v>4. Review BALANCES and COVERAGE before approving overlapping time away.</x:v>
      </x:c>
      <x:c r="K34" s="207" t="str">
        <x:v>4. Review BALANCES and COVERAGE before approving overlapping time away.</x:v>
      </x:c>
      <x:c r="L34" s="207" t="str">
        <x:v>4. Review BALANCES and COVERAGE before approving overlapping time away.</x:v>
      </x:c>
      <x:c r="M34" s="207" t="str">
        <x:v>4. Review BALANCES and COVERAGE before approving overlapping time away.</x:v>
      </x:c>
      <x:c r="N34" s="207" t="str">
        <x:v>4. Review BALANCES and COVERAGE before approving overlapping time away.</x:v>
      </x:c>
      <x:c r="O34" s="207" t="str">
        <x:v>4. Review BALANCES and COVERAGE before approving overlapping time away.</x:v>
      </x:c>
      <x:c r="P34" s="207" t="str">
        <x:v>4. Review BALANCES and COVERAGE before approving overlapping time away.</x:v>
      </x:c>
      <x:c r="Q34" s="207" t="str">
        <x:v>4. Review BALANCES and COVERAGE before approving overlapping time away.</x:v>
      </x:c>
      <x:c r="R34" s="207" t="str">
        <x:v>4. Review BALANCES and COVERAGE before approving overlapping time away.</x:v>
      </x:c>
      <x:c r="S34" s="207" t="str">
        <x:v>4. Review BALANCES and COVERAGE before approving overlapping time away.</x:v>
      </x:c>
      <x:c r="T34" s="207" t="str">
        <x:v>4. Review BALANCES and COVERAGE before approving overlapping time away.</x:v>
      </x:c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56" t="str">
        <x:v>5. Use DASHBOARD for decisions and AUDIT before each reporting cycle.</x:v>
      </x:c>
      <x:c r="B36" s="56" t="str">
        <x:v>5. Use DASHBOARD for decisions and AUDIT before each reporting cycle.</x:v>
      </x:c>
      <x:c r="C36" s="56" t="str">
        <x:v>5. Use DASHBOARD for decisions and AUDIT before each reporting cycle.</x:v>
      </x:c>
      <x:c r="D36" s="56" t="str">
        <x:v>5. Use DASHBOARD for decisions and AUDIT before each reporting cycle.</x:v>
      </x:c>
      <x:c r="E36" s="56" t="str">
        <x:v>5. Use DASHBOARD for decisions and AUDIT before each reporting cycle.</x:v>
      </x:c>
      <x:c r="F36" s="56" t="str">
        <x:v>5. Use DASHBOARD for decisions and AUDIT before each reporting cycle.</x:v>
      </x:c>
      <x:c r="G36" s="56" t="str">
        <x:v>5. Use DASHBOARD for decisions and AUDIT before each reporting cycle.</x:v>
      </x:c>
      <x:c r="H36" s="56" t="str">
        <x:v>5. Use DASHBOARD for decisions and AUDIT before each reporting cycle.</x:v>
      </x:c>
      <x:c r="I36" s="56" t="str">
        <x:v>5. Use DASHBOARD for decisions and AUDIT before each reporting cycle.</x:v>
      </x:c>
      <x:c r="J36" s="56" t="str">
        <x:v>5. Use DASHBOARD for decisions and AUDIT before each reporting cycle.</x:v>
      </x:c>
      <x:c r="K36" s="56" t="str">
        <x:v>5. Use DASHBOARD for decisions and AUDIT before each reporting cycle.</x:v>
      </x:c>
      <x:c r="L36" s="56" t="str">
        <x:v>5. Use DASHBOARD for decisions and AUDIT before each reporting cycle.</x:v>
      </x:c>
      <x:c r="M36" s="56" t="str">
        <x:v>5. Use DASHBOARD for decisions and AUDIT before each reporting cycle.</x:v>
      </x:c>
      <x:c r="N36" s="56" t="str">
        <x:v>5. Use DASHBOARD for decisions and AUDIT before each reporting cycle.</x:v>
      </x:c>
      <x:c r="O36" s="56" t="str">
        <x:v>5. Use DASHBOARD for decisions and AUDIT before each reporting cycle.</x:v>
      </x:c>
      <x:c r="P36" s="56" t="str">
        <x:v>5. Use DASHBOARD for decisions and AUDIT before each reporting cycle.</x:v>
      </x:c>
      <x:c r="Q36" s="56" t="str">
        <x:v>5. Use DASHBOARD for decisions and AUDIT before each reporting cycle.</x:v>
      </x:c>
      <x:c r="R36" s="56" t="str">
        <x:v>5. Use DASHBOARD for decisions and AUDIT before each reporting cycle.</x:v>
      </x:c>
      <x:c r="S36" s="56" t="str">
        <x:v>5. Use DASHBOARD for decisions and AUDIT before each reporting cycle.</x:v>
      </x:c>
      <x:c r="T36" s="56" t="str">
        <x:v>5. Use DASHBOARD for decisions and AUDIT before each reporting cycle.</x:v>
      </x:c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5" t="str">
        <x:v>Sample company and employee data are fictional. Replace all sample rows, confirm your policies, and preserve stable IDs before live use.</x:v>
      </x:c>
      <x:c r="B39" s="46" t="str">
        <x:v>Sample company and employee data are fictional. Replace all sample rows, confirm your policies, and preserve stable IDs before live use.</x:v>
      </x:c>
      <x:c r="C39" s="46" t="str">
        <x:v>Sample company and employee data are fictional. Replace all sample rows, confirm your policies, and preserve stable IDs before live use.</x:v>
      </x:c>
      <x:c r="D39" s="46" t="str">
        <x:v>Sample company and employee data are fictional. Replace all sample rows, confirm your policies, and preserve stable IDs before live use.</x:v>
      </x:c>
      <x:c r="E39" s="46" t="str">
        <x:v>Sample company and employee data are fictional. Replace all sample rows, confirm your policies, and preserve stable IDs before live use.</x:v>
      </x:c>
      <x:c r="F39" s="46" t="str">
        <x:v>Sample company and employee data are fictional. Replace all sample rows, confirm your policies, and preserve stable IDs before live use.</x:v>
      </x:c>
      <x:c r="G39" s="46" t="str">
        <x:v>Sample company and employee data are fictional. Replace all sample rows, confirm your policies, and preserve stable IDs before live use.</x:v>
      </x:c>
      <x:c r="H39" s="46" t="str">
        <x:v>Sample company and employee data are fictional. Replace all sample rows, confirm your policies, and preserve stable IDs before live use.</x:v>
      </x:c>
      <x:c r="I39" s="46" t="str">
        <x:v>Sample company and employee data are fictional. Replace all sample rows, confirm your policies, and preserve stable IDs before live use.</x:v>
      </x:c>
      <x:c r="J39" s="46" t="str">
        <x:v>Sample company and employee data are fictional. Replace all sample rows, confirm your policies, and preserve stable IDs before live use.</x:v>
      </x:c>
      <x:c r="K39" s="46" t="str">
        <x:v>Sample company and employee data are fictional. Replace all sample rows, confirm your policies, and preserve stable IDs before live use.</x:v>
      </x:c>
      <x:c r="L39" s="46" t="str">
        <x:v>Sample company and employee data are fictional. Replace all sample rows, confirm your policies, and preserve stable IDs before live use.</x:v>
      </x:c>
      <x:c r="M39" s="46" t="str">
        <x:v>Sample company and employee data are fictional. Replace all sample rows, confirm your policies, and preserve stable IDs before live use.</x:v>
      </x:c>
      <x:c r="N39" s="46" t="str">
        <x:v>Sample company and employee data are fictional. Replace all sample rows, confirm your policies, and preserve stable IDs before live use.</x:v>
      </x:c>
      <x:c r="O39" s="46" t="str">
        <x:v>Sample company and employee data are fictional. Replace all sample rows, confirm your policies, and preserve stable IDs before live use.</x:v>
      </x:c>
      <x:c r="P39" s="46" t="str">
        <x:v>Sample company and employee data are fictional. Replace all sample rows, confirm your policies, and preserve stable IDs before live use.</x:v>
      </x:c>
      <x:c r="Q39" s="46" t="str">
        <x:v>Sample company and employee data are fictional. Replace all sample rows, confirm your policies, and preserve stable IDs before live use.</x:v>
      </x:c>
      <x:c r="R39" s="46" t="str">
        <x:v>Sample company and employee data are fictional. Replace all sample rows, confirm your policies, and preserve stable IDs before live use.</x:v>
      </x:c>
      <x:c r="S39" s="46" t="str">
        <x:v>Sample company and employee data are fictional. Replace all sample rows, confirm your policies, and preserve stable IDs before live use.</x:v>
      </x:c>
      <x:c r="T39" s="47" t="str">
        <x:v>Sample company and employee data are fictional. Replace all sample rows, confirm your policies, and preserve stable IDs before live use.</x:v>
      </x:c>
    </x:row>
    <x:row r="40">
      <x:c r="A40" s="48" t="str">
        <x:v>Sample company and employee data are fictional. Replace all sample rows, confirm your policies, and preserve stable IDs before live use.</x:v>
      </x:c>
      <x:c r="B40" s="49" t="str">
        <x:v>Sample company and employee data are fictional. Replace all sample rows, confirm your policies, and preserve stable IDs before live use.</x:v>
      </x:c>
      <x:c r="C40" s="49" t="str">
        <x:v>Sample company and employee data are fictional. Replace all sample rows, confirm your policies, and preserve stable IDs before live use.</x:v>
      </x:c>
      <x:c r="D40" s="49" t="str">
        <x:v>Sample company and employee data are fictional. Replace all sample rows, confirm your policies, and preserve stable IDs before live use.</x:v>
      </x:c>
      <x:c r="E40" s="49" t="str">
        <x:v>Sample company and employee data are fictional. Replace all sample rows, confirm your policies, and preserve stable IDs before live use.</x:v>
      </x:c>
      <x:c r="F40" s="49" t="str">
        <x:v>Sample company and employee data are fictional. Replace all sample rows, confirm your policies, and preserve stable IDs before live use.</x:v>
      </x:c>
      <x:c r="G40" s="49" t="str">
        <x:v>Sample company and employee data are fictional. Replace all sample rows, confirm your policies, and preserve stable IDs before live use.</x:v>
      </x:c>
      <x:c r="H40" s="49" t="str">
        <x:v>Sample company and employee data are fictional. Replace all sample rows, confirm your policies, and preserve stable IDs before live use.</x:v>
      </x:c>
      <x:c r="I40" s="49" t="str">
        <x:v>Sample company and employee data are fictional. Replace all sample rows, confirm your policies, and preserve stable IDs before live use.</x:v>
      </x:c>
      <x:c r="J40" s="49" t="str">
        <x:v>Sample company and employee data are fictional. Replace all sample rows, confirm your policies, and preserve stable IDs before live use.</x:v>
      </x:c>
      <x:c r="K40" s="49" t="str">
        <x:v>Sample company and employee data are fictional. Replace all sample rows, confirm your policies, and preserve stable IDs before live use.</x:v>
      </x:c>
      <x:c r="L40" s="49" t="str">
        <x:v>Sample company and employee data are fictional. Replace all sample rows, confirm your policies, and preserve stable IDs before live use.</x:v>
      </x:c>
      <x:c r="M40" s="49" t="str">
        <x:v>Sample company and employee data are fictional. Replace all sample rows, confirm your policies, and preserve stable IDs before live use.</x:v>
      </x:c>
      <x:c r="N40" s="49" t="str">
        <x:v>Sample company and employee data are fictional. Replace all sample rows, confirm your policies, and preserve stable IDs before live use.</x:v>
      </x:c>
      <x:c r="O40" s="49" t="str">
        <x:v>Sample company and employee data are fictional. Replace all sample rows, confirm your policies, and preserve stable IDs before live use.</x:v>
      </x:c>
      <x:c r="P40" s="49" t="str">
        <x:v>Sample company and employee data are fictional. Replace all sample rows, confirm your policies, and preserve stable IDs before live use.</x:v>
      </x:c>
      <x:c r="Q40" s="49" t="str">
        <x:v>Sample company and employee data are fictional. Replace all sample rows, confirm your policies, and preserve stable IDs before live use.</x:v>
      </x:c>
      <x:c r="R40" s="49" t="str">
        <x:v>Sample company and employee data are fictional. Replace all sample rows, confirm your policies, and preserve stable IDs before live use.</x:v>
      </x:c>
      <x:c r="S40" s="49" t="str">
        <x:v>Sample company and employee data are fictional. Replace all sample rows, confirm your policies, and preserve stable IDs before live use.</x:v>
      </x:c>
      <x:c r="T40" s="50" t="str">
        <x:v>Sample company and employee data are fictional. Replace all sample rows, confirm your policies, and preserve stable IDs before live use.</x:v>
      </x:c>
    </x:row>
    <x:row r="41">
      <x:c r="A41" s="48" t="str">
        <x:v>Sample company and employee data are fictional. Replace all sample rows, confirm your policies, and preserve stable IDs before live use.</x:v>
      </x:c>
      <x:c r="B41" s="49" t="str">
        <x:v>Sample company and employee data are fictional. Replace all sample rows, confirm your policies, and preserve stable IDs before live use.</x:v>
      </x:c>
      <x:c r="C41" s="49" t="str">
        <x:v>Sample company and employee data are fictional. Replace all sample rows, confirm your policies, and preserve stable IDs before live use.</x:v>
      </x:c>
      <x:c r="D41" s="49" t="str">
        <x:v>Sample company and employee data are fictional. Replace all sample rows, confirm your policies, and preserve stable IDs before live use.</x:v>
      </x:c>
      <x:c r="E41" s="49" t="str">
        <x:v>Sample company and employee data are fictional. Replace all sample rows, confirm your policies, and preserve stable IDs before live use.</x:v>
      </x:c>
      <x:c r="F41" s="49" t="str">
        <x:v>Sample company and employee data are fictional. Replace all sample rows, confirm your policies, and preserve stable IDs before live use.</x:v>
      </x:c>
      <x:c r="G41" s="49" t="str">
        <x:v>Sample company and employee data are fictional. Replace all sample rows, confirm your policies, and preserve stable IDs before live use.</x:v>
      </x:c>
      <x:c r="H41" s="49" t="str">
        <x:v>Sample company and employee data are fictional. Replace all sample rows, confirm your policies, and preserve stable IDs before live use.</x:v>
      </x:c>
      <x:c r="I41" s="49" t="str">
        <x:v>Sample company and employee data are fictional. Replace all sample rows, confirm your policies, and preserve stable IDs before live use.</x:v>
      </x:c>
      <x:c r="J41" s="49" t="str">
        <x:v>Sample company and employee data are fictional. Replace all sample rows, confirm your policies, and preserve stable IDs before live use.</x:v>
      </x:c>
      <x:c r="K41" s="49" t="str">
        <x:v>Sample company and employee data are fictional. Replace all sample rows, confirm your policies, and preserve stable IDs before live use.</x:v>
      </x:c>
      <x:c r="L41" s="49" t="str">
        <x:v>Sample company and employee data are fictional. Replace all sample rows, confirm your policies, and preserve stable IDs before live use.</x:v>
      </x:c>
      <x:c r="M41" s="49" t="str">
        <x:v>Sample company and employee data are fictional. Replace all sample rows, confirm your policies, and preserve stable IDs before live use.</x:v>
      </x:c>
      <x:c r="N41" s="49" t="str">
        <x:v>Sample company and employee data are fictional. Replace all sample rows, confirm your policies, and preserve stable IDs before live use.</x:v>
      </x:c>
      <x:c r="O41" s="49" t="str">
        <x:v>Sample company and employee data are fictional. Replace all sample rows, confirm your policies, and preserve stable IDs before live use.</x:v>
      </x:c>
      <x:c r="P41" s="49" t="str">
        <x:v>Sample company and employee data are fictional. Replace all sample rows, confirm your policies, and preserve stable IDs before live use.</x:v>
      </x:c>
      <x:c r="Q41" s="49" t="str">
        <x:v>Sample company and employee data are fictional. Replace all sample rows, confirm your policies, and preserve stable IDs before live use.</x:v>
      </x:c>
      <x:c r="R41" s="49" t="str">
        <x:v>Sample company and employee data are fictional. Replace all sample rows, confirm your policies, and preserve stable IDs before live use.</x:v>
      </x:c>
      <x:c r="S41" s="49" t="str">
        <x:v>Sample company and employee data are fictional. Replace all sample rows, confirm your policies, and preserve stable IDs before live use.</x:v>
      </x:c>
      <x:c r="T41" s="50" t="str">
        <x:v>Sample company and employee data are fictional. Replace all sample rows, confirm your policies, and preserve stable IDs before live use.</x:v>
      </x:c>
    </x:row>
    <x:row r="42">
      <x:c r="A42" s="51" t="str">
        <x:v>Sample company and employee data are fictional. Replace all sample rows, confirm your policies, and preserve stable IDs before live use.</x:v>
      </x:c>
      <x:c r="B42" s="52" t="str">
        <x:v>Sample company and employee data are fictional. Replace all sample rows, confirm your policies, and preserve stable IDs before live use.</x:v>
      </x:c>
      <x:c r="C42" s="52" t="str">
        <x:v>Sample company and employee data are fictional. Replace all sample rows, confirm your policies, and preserve stable IDs before live use.</x:v>
      </x:c>
      <x:c r="D42" s="52" t="str">
        <x:v>Sample company and employee data are fictional. Replace all sample rows, confirm your policies, and preserve stable IDs before live use.</x:v>
      </x:c>
      <x:c r="E42" s="52" t="str">
        <x:v>Sample company and employee data are fictional. Replace all sample rows, confirm your policies, and preserve stable IDs before live use.</x:v>
      </x:c>
      <x:c r="F42" s="52" t="str">
        <x:v>Sample company and employee data are fictional. Replace all sample rows, confirm your policies, and preserve stable IDs before live use.</x:v>
      </x:c>
      <x:c r="G42" s="52" t="str">
        <x:v>Sample company and employee data are fictional. Replace all sample rows, confirm your policies, and preserve stable IDs before live use.</x:v>
      </x:c>
      <x:c r="H42" s="52" t="str">
        <x:v>Sample company and employee data are fictional. Replace all sample rows, confirm your policies, and preserve stable IDs before live use.</x:v>
      </x:c>
      <x:c r="I42" s="52" t="str">
        <x:v>Sample company and employee data are fictional. Replace all sample rows, confirm your policies, and preserve stable IDs before live use.</x:v>
      </x:c>
      <x:c r="J42" s="52" t="str">
        <x:v>Sample company and employee data are fictional. Replace all sample rows, confirm your policies, and preserve stable IDs before live use.</x:v>
      </x:c>
      <x:c r="K42" s="52" t="str">
        <x:v>Sample company and employee data are fictional. Replace all sample rows, confirm your policies, and preserve stable IDs before live use.</x:v>
      </x:c>
      <x:c r="L42" s="52" t="str">
        <x:v>Sample company and employee data are fictional. Replace all sample rows, confirm your policies, and preserve stable IDs before live use.</x:v>
      </x:c>
      <x:c r="M42" s="52" t="str">
        <x:v>Sample company and employee data are fictional. Replace all sample rows, confirm your policies, and preserve stable IDs before live use.</x:v>
      </x:c>
      <x:c r="N42" s="52" t="str">
        <x:v>Sample company and employee data are fictional. Replace all sample rows, confirm your policies, and preserve stable IDs before live use.</x:v>
      </x:c>
      <x:c r="O42" s="52" t="str">
        <x:v>Sample company and employee data are fictional. Replace all sample rows, confirm your policies, and preserve stable IDs before live use.</x:v>
      </x:c>
      <x:c r="P42" s="52" t="str">
        <x:v>Sample company and employee data are fictional. Replace all sample rows, confirm your policies, and preserve stable IDs before live use.</x:v>
      </x:c>
      <x:c r="Q42" s="52" t="str">
        <x:v>Sample company and employee data are fictional. Replace all sample rows, confirm your policies, and preserve stable IDs before live use.</x:v>
      </x:c>
      <x:c r="R42" s="52" t="str">
        <x:v>Sample company and employee data are fictional. Replace all sample rows, confirm your policies, and preserve stable IDs before live use.</x:v>
      </x:c>
      <x:c r="S42" s="52" t="str">
        <x:v>Sample company and employee data are fictional. Replace all sample rows, confirm your policies, and preserve stable IDs before live use.</x:v>
      </x:c>
      <x:c r="T42" s="53" t="str">
        <x:v>Sample company and employee data are fictional. Replace all sample rows, confirm your policies, and preserve stable IDs before live use.</x:v>
      </x:c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9:T9"/>
    <x:mergeCell ref="A11:D11"/>
    <x:mergeCell ref="A12:D14"/>
    <x:mergeCell ref="F11:J11"/>
    <x:mergeCell ref="F12:J14"/>
    <x:mergeCell ref="L11:O11"/>
    <x:mergeCell ref="L12:O14"/>
    <x:mergeCell ref="Q11:T11"/>
    <x:mergeCell ref="Q12:T14"/>
    <x:mergeCell ref="A17:T17"/>
    <x:mergeCell ref="A19:E23"/>
    <x:mergeCell ref="F19:J23"/>
    <x:mergeCell ref="K19:O23"/>
    <x:mergeCell ref="P19:T23"/>
    <x:mergeCell ref="A26:T26"/>
    <x:mergeCell ref="A28:T28"/>
    <x:mergeCell ref="A30:T30"/>
    <x:mergeCell ref="A32:T32"/>
    <x:mergeCell ref="A34:T34"/>
    <x:mergeCell ref="A36:T36"/>
    <x:mergeCell ref="A39:T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" hidden="0" customWidth="1"/>
    <x:col min="3" max="3" width="18" hidden="0" customWidth="1"/>
    <x:col min="4" max="4" width="13" hidden="0" customWidth="1"/>
    <x:col min="5" max="5" width="15" hidden="0" customWidth="1"/>
    <x:col min="6" max="6" width="3" hidden="0" customWidth="1"/>
    <x:col min="7" max="7" width="18" hidden="0" customWidth="1"/>
    <x:col min="8" max="8" width="12" hidden="0" customWidth="1"/>
    <x:col min="9" max="9" width="3" hidden="0" customWidth="1"/>
    <x:col min="10" max="10" width="22" hidden="0" customWidth="1"/>
    <x:col min="11" max="11" width="16" hidden="0" customWidth="1"/>
    <x:col min="12" max="12" width="16" hidden="0" customWidth="1"/>
    <x:col min="13" max="13" width="17" hidden="0" customWidth="1"/>
    <x:col min="14" max="14" width="38" hidden="0" customWidth="1"/>
  </x:cols>
  <x:sheetData>
    <x:row r="1" ht="20" customHeight="1">
      <x:c r="A1" s="12" t="str">
        <x:v>Home</x:v>
      </x:c>
      <x:c r="B1" s="13" t="str">
        <x:v>Home</x:v>
      </x:c>
      <x:c r="C1" s="9" t="str">
        <x:v>Setup</x:v>
      </x:c>
      <x:c r="D1" s="10" t="str">
        <x:v>Setup</x:v>
      </x:c>
      <x:c r="E1" s="12" t="str">
        <x:v>Employees</x:v>
      </x:c>
      <x:c r="F1" s="13" t="str">
        <x:v>Employees</x:v>
      </x:c>
      <x:c r="G1" s="12" t="str">
        <x:v>Requests</x:v>
      </x:c>
      <x:c r="H1" s="13" t="str">
        <x:v>Requests</x:v>
      </x:c>
      <x:c r="I1" s="12" t="str">
        <x:v>Balances</x:v>
      </x:c>
      <x:c r="J1" s="13" t="str">
        <x:v>Balances</x:v>
      </x:c>
      <x:c r="K1" s="12" t="str">
        <x:v>Calendar</x:v>
      </x:c>
      <x:c r="L1" s="13" t="str">
        <x:v>Calendar</x:v>
      </x:c>
      <x:c r="M1" s="12" t="str">
        <x:v>Coverage</x:v>
      </x:c>
      <x:c r="N1" s="13" t="str">
        <x:v>Coverage</x:v>
      </x:c>
      <x:c r="O1" s="12" t="str">
        <x:v>Dashboard</x:v>
      </x:c>
      <x:c r="P1" s="13" t="str">
        <x:v>Dashboard</x:v>
      </x:c>
      <x:c r="Q1" s="12" t="str">
        <x:v>Audit</x:v>
      </x:c>
      <x:c r="R1" s="13" t="str">
        <x:v>Audit</x:v>
      </x:c>
      <x:c r="S1" s="6"/>
      <x:c r="T1" s="6"/>
    </x:row>
    <x:row r="2" ht="20" customHeight="1">
      <x:c r="A2" s="12" t="str">
        <x:v>Home</x:v>
      </x:c>
      <x:c r="B2" s="13" t="str">
        <x:v>Home</x:v>
      </x:c>
      <x:c r="C2" s="9" t="str">
        <x:v>Setup</x:v>
      </x:c>
      <x:c r="D2" s="10" t="str">
        <x:v>Setup</x:v>
      </x:c>
      <x:c r="E2" s="12" t="str">
        <x:v>Employees</x:v>
      </x:c>
      <x:c r="F2" s="13" t="str">
        <x:v>Employees</x:v>
      </x:c>
      <x:c r="G2" s="12" t="str">
        <x:v>Requests</x:v>
      </x:c>
      <x:c r="H2" s="13" t="str">
        <x:v>Requests</x:v>
      </x:c>
      <x:c r="I2" s="12" t="str">
        <x:v>Balances</x:v>
      </x:c>
      <x:c r="J2" s="13" t="str">
        <x:v>Balances</x:v>
      </x:c>
      <x:c r="K2" s="12" t="str">
        <x:v>Calendar</x:v>
      </x:c>
      <x:c r="L2" s="13" t="str">
        <x:v>Calendar</x:v>
      </x:c>
      <x:c r="M2" s="12" t="str">
        <x:v>Coverage</x:v>
      </x:c>
      <x:c r="N2" s="13" t="str">
        <x:v>Coverage</x:v>
      </x:c>
      <x:c r="O2" s="12" t="str">
        <x:v>Dashboard</x:v>
      </x:c>
      <x:c r="P2" s="13" t="str">
        <x:v>Dashboard</x:v>
      </x:c>
      <x:c r="Q2" s="12" t="str">
        <x:v>Audit</x:v>
      </x:c>
      <x:c r="R2" s="13" t="str">
        <x:v>Audit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CONTROL SETTINGS</x:v>
      </x:c>
      <x:c r="B4" s="15" t="str">
        <x:v>CONTROL SETTINGS</x:v>
      </x:c>
      <x:c r="C4" s="15" t="str">
        <x:v>CONTROL SETTINGS</x:v>
      </x:c>
      <x:c r="D4" s="15" t="str">
        <x:v>CONTROL SETTINGS</x:v>
      </x:c>
      <x:c r="E4" s="15" t="str">
        <x:v>CONTROL SETTINGS</x:v>
      </x:c>
      <x:c r="F4" s="15" t="str">
        <x:v>CONTROL SETTINGS</x:v>
      </x:c>
      <x:c r="G4" s="15" t="str">
        <x:v>CONTROL SETTINGS</x:v>
      </x:c>
      <x:c r="H4" s="15" t="str">
        <x:v>CONTROL SETTINGS</x:v>
      </x:c>
      <x:c r="I4" s="15" t="str">
        <x:v>CONTROL SETTINGS</x:v>
      </x:c>
      <x:c r="J4" s="15" t="str">
        <x:v>CONTROL SETTINGS</x:v>
      </x:c>
      <x:c r="K4" s="15" t="str">
        <x:v>CONTROL SETTINGS</x:v>
      </x:c>
      <x:c r="L4" s="15" t="str">
        <x:v>CONTROL SETTINGS</x:v>
      </x:c>
      <x:c r="M4" s="15" t="str">
        <x:v>CONTROL SETTINGS</x:v>
      </x:c>
      <x:c r="N4" s="15" t="str">
        <x:v>CONTROL SETTINGS</x:v>
      </x:c>
      <x:c r="O4" s="15" t="str">
        <x:v>CONTROL SETTINGS</x:v>
      </x:c>
      <x:c r="P4" s="15" t="str">
        <x:v>CONTROL SETTINGS</x:v>
      </x:c>
      <x:c r="Q4" s="15" t="str">
        <x:v>CONTROL SETTINGS</x:v>
      </x:c>
      <x:c r="R4" s="15" t="str">
        <x:v>CONTROL SETTINGS</x:v>
      </x:c>
      <x:c r="S4" s="15" t="str">
        <x:v>CONTROL SETTINGS</x:v>
      </x:c>
      <x:c r="T4" s="15" t="str">
        <x:v>CONTROL SETTINGS</x:v>
      </x:c>
    </x:row>
    <x:row r="5" ht="24" customHeight="1">
      <x:c r="A5" s="17" t="str">
        <x:v>Policies &amp; Planning Controls</x:v>
      </x:c>
      <x:c r="B5" s="17" t="str">
        <x:v>Policies &amp; Planning Controls</x:v>
      </x:c>
      <x:c r="C5" s="17" t="str">
        <x:v>Policies &amp; Planning Controls</x:v>
      </x:c>
      <x:c r="D5" s="17" t="str">
        <x:v>Policies &amp; Planning Controls</x:v>
      </x:c>
      <x:c r="E5" s="17" t="str">
        <x:v>Policies &amp; Planning Controls</x:v>
      </x:c>
      <x:c r="F5" s="17" t="str">
        <x:v>Policies &amp; Planning Controls</x:v>
      </x:c>
      <x:c r="G5" s="17" t="str">
        <x:v>Policies &amp; Planning Controls</x:v>
      </x:c>
      <x:c r="H5" s="17" t="str">
        <x:v>Policies &amp; Planning Controls</x:v>
      </x:c>
      <x:c r="I5" s="17" t="str">
        <x:v>Policies &amp; Planning Controls</x:v>
      </x:c>
      <x:c r="J5" s="17" t="str">
        <x:v>Policies &amp; Planning Controls</x:v>
      </x:c>
      <x:c r="K5" s="17" t="str">
        <x:v>Policies &amp; Planning Controls</x:v>
      </x:c>
      <x:c r="L5" s="17" t="str">
        <x:v>Policies &amp; Planning Controls</x:v>
      </x:c>
      <x:c r="M5" s="17" t="str">
        <x:v>Policies &amp; Planning Controls</x:v>
      </x:c>
      <x:c r="N5" s="17" t="str">
        <x:v>Policies &amp; Planning Controls</x:v>
      </x:c>
      <x:c r="O5" s="17" t="str">
        <x:v>Policies &amp; Planning Controls</x:v>
      </x:c>
      <x:c r="P5" s="17" t="str">
        <x:v>Policies &amp; Planning Controls</x:v>
      </x:c>
      <x:c r="Q5" s="17" t="str">
        <x:v>Policies &amp; Planning Controls</x:v>
      </x:c>
      <x:c r="R5" s="17" t="str">
        <x:v>Policies &amp; Planning Controls</x:v>
      </x:c>
      <x:c r="S5" s="17" t="str">
        <x:v>Policies &amp; Planning Controls</x:v>
      </x:c>
      <x:c r="T5" s="17" t="str">
        <x:v>Policies &amp; Planning Controls</x:v>
      </x:c>
    </x:row>
    <x:row r="6" ht="24" customHeight="1">
      <x:c r="A6" s="18" t="str">
        <x:v>Policies &amp; Planning Controls</x:v>
      </x:c>
      <x:c r="B6" s="18" t="str">
        <x:v>Policies &amp; Planning Controls</x:v>
      </x:c>
      <x:c r="C6" s="18" t="str">
        <x:v>Policies &amp; Planning Controls</x:v>
      </x:c>
      <x:c r="D6" s="18" t="str">
        <x:v>Policies &amp; Planning Controls</x:v>
      </x:c>
      <x:c r="E6" s="18" t="str">
        <x:v>Policies &amp; Planning Controls</x:v>
      </x:c>
      <x:c r="F6" s="18" t="str">
        <x:v>Policies &amp; Planning Controls</x:v>
      </x:c>
      <x:c r="G6" s="18" t="str">
        <x:v>Policies &amp; Planning Controls</x:v>
      </x:c>
      <x:c r="H6" s="18" t="str">
        <x:v>Policies &amp; Planning Controls</x:v>
      </x:c>
      <x:c r="I6" s="18" t="str">
        <x:v>Policies &amp; Planning Controls</x:v>
      </x:c>
      <x:c r="J6" s="18" t="str">
        <x:v>Policies &amp; Planning Controls</x:v>
      </x:c>
      <x:c r="K6" s="18" t="str">
        <x:v>Policies &amp; Planning Controls</x:v>
      </x:c>
      <x:c r="L6" s="18" t="str">
        <x:v>Policies &amp; Planning Controls</x:v>
      </x:c>
      <x:c r="M6" s="18" t="str">
        <x:v>Policies &amp; Planning Controls</x:v>
      </x:c>
      <x:c r="N6" s="18" t="str">
        <x:v>Policies &amp; Planning Controls</x:v>
      </x:c>
      <x:c r="O6" s="18" t="str">
        <x:v>Policies &amp; Planning Controls</x:v>
      </x:c>
      <x:c r="P6" s="18" t="str">
        <x:v>Policies &amp; Planning Controls</x:v>
      </x:c>
      <x:c r="Q6" s="18" t="str">
        <x:v>Policies &amp; Planning Controls</x:v>
      </x:c>
      <x:c r="R6" s="18" t="str">
        <x:v>Policies &amp; Planning Controls</x:v>
      </x:c>
      <x:c r="S6" s="18" t="str">
        <x:v>Policies &amp; Planning Controls</x:v>
      </x:c>
      <x:c r="T6" s="18" t="str">
        <x:v>Policies &amp; Planning Controls</x:v>
      </x:c>
    </x:row>
    <x:row r="7" ht="18" customHeight="1">
      <x:c r="A7" s="20" t="str">
        <x:v>Set the plan year, review dates, leave policies, departments, and staffing floors.</x:v>
      </x:c>
      <x:c r="B7" s="20" t="str">
        <x:v>Set the plan year, review dates, leave policies, departments, and staffing floors.</x:v>
      </x:c>
      <x:c r="C7" s="20" t="str">
        <x:v>Set the plan year, review dates, leave policies, departments, and staffing floors.</x:v>
      </x:c>
      <x:c r="D7" s="20" t="str">
        <x:v>Set the plan year, review dates, leave policies, departments, and staffing floors.</x:v>
      </x:c>
      <x:c r="E7" s="20" t="str">
        <x:v>Set the plan year, review dates, leave policies, departments, and staffing floors.</x:v>
      </x:c>
      <x:c r="F7" s="20" t="str">
        <x:v>Set the plan year, review dates, leave policies, departments, and staffing floors.</x:v>
      </x:c>
      <x:c r="G7" s="20" t="str">
        <x:v>Set the plan year, review dates, leave policies, departments, and staffing floors.</x:v>
      </x:c>
      <x:c r="H7" s="20" t="str">
        <x:v>Set the plan year, review dates, leave policies, departments, and staffing floors.</x:v>
      </x:c>
      <x:c r="I7" s="20" t="str">
        <x:v>Set the plan year, review dates, leave policies, departments, and staffing floors.</x:v>
      </x:c>
      <x:c r="J7" s="20" t="str">
        <x:v>Set the plan year, review dates, leave policies, departments, and staffing floors.</x:v>
      </x:c>
      <x:c r="K7" s="20" t="str">
        <x:v>Set the plan year, review dates, leave policies, departments, and staffing floors.</x:v>
      </x:c>
      <x:c r="L7" s="20" t="str">
        <x:v>Set the plan year, review dates, leave policies, departments, and staffing floors.</x:v>
      </x:c>
      <x:c r="M7" s="20" t="str">
        <x:v>Set the plan year, review dates, leave policies, departments, and staffing floors.</x:v>
      </x:c>
      <x:c r="N7" s="20" t="str">
        <x:v>Set the plan year, review dates, leave policies, departments, and staffing floors.</x:v>
      </x:c>
      <x:c r="O7" s="20" t="str">
        <x:v>Set the plan year, review dates, leave policies, departments, and staffing floors.</x:v>
      </x:c>
      <x:c r="P7" s="20" t="str">
        <x:v>Set the plan year, review dates, leave policies, departments, and staffing floors.</x:v>
      </x:c>
      <x:c r="Q7" s="20" t="str">
        <x:v>Set the plan year, review dates, leave policies, departments, and staffing floors.</x:v>
      </x:c>
      <x:c r="R7" s="20" t="str">
        <x:v>Set the plan year, review dates, leave policies, departments, and staffing floors.</x:v>
      </x:c>
      <x:c r="S7" s="20" t="str">
        <x:v>Set the plan year, review dates, leave policies, departments, and staffing floors.</x:v>
      </x:c>
      <x:c r="T7" s="20" t="str">
        <x:v>Set the plan year, review dates, leave policies, departments, and staffing floors.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22" t="str">
        <x:v>BUSINESS &amp; PLAN</x:v>
      </x:c>
      <x:c r="B9" s="22" t="str">
        <x:v>BUSINESS &amp; PLAN</x:v>
      </x:c>
      <x:c r="C9" s="22" t="str">
        <x:v>BUSINESS &amp; PLAN</x:v>
      </x:c>
      <x:c r="D9" s="22" t="str">
        <x:v>BUSINESS &amp; PLAN</x:v>
      </x:c>
      <x:c r="E9" s="22" t="str">
        <x:v>BUSINESS &amp; PLAN</x:v>
      </x:c>
      <x:c r="F9" s="22" t="str">
        <x:v>BUSINESS &amp; PLAN</x:v>
      </x:c>
      <x:c r="G9" s="22" t="str">
        <x:v>BUSINESS &amp; PLAN</x:v>
      </x:c>
      <x:c r="H9" s="22" t="str">
        <x:v>BUSINESS &amp; PLAN</x:v>
      </x:c>
      <x:c r="I9" s="4"/>
      <x:c r="J9" s="22" t="str">
        <x:v>LEAVE POLICIES</x:v>
      </x:c>
      <x:c r="K9" s="22" t="str">
        <x:v>LEAVE POLICIES</x:v>
      </x:c>
      <x:c r="L9" s="22" t="str">
        <x:v>LEAVE POLICIES</x:v>
      </x:c>
      <x:c r="M9" s="22" t="str">
        <x:v>LEAVE POLICIES</x:v>
      </x:c>
      <x:c r="N9" s="22" t="str">
        <x:v>LEAVE POLICIES</x:v>
      </x:c>
      <x:c r="O9" s="4"/>
      <x:c r="P9" s="4"/>
      <x:c r="Q9" s="4"/>
      <x:c r="R9" s="4"/>
      <x:c r="S9" s="4"/>
      <x:c r="T9" s="4"/>
    </x:row>
    <x:row r="10">
      <x:c r="A10" s="24" t="str">
        <x:v>Business name</x:v>
      </x:c>
      <x:c r="B10" s="24" t="str">
        <x:v>Business name</x:v>
      </x:c>
      <x:c r="C10" s="24" t="str">
        <x:v>Business name</x:v>
      </x:c>
      <x:c r="D10" s="26" t="str">
        <x:v>Fictional Cedar &amp; Co.</x:v>
      </x:c>
      <x:c r="E10" s="26" t="str">
        <x:v>Fictional Cedar &amp; Co.</x:v>
      </x:c>
      <x:c r="F10" s="26" t="str">
        <x:v>Fictional Cedar &amp; Co.</x:v>
      </x:c>
      <x:c r="G10" s="26" t="str">
        <x:v>Fictional Cedar &amp; Co.</x:v>
      </x:c>
      <x:c r="H10" s="26" t="str">
        <x:v>Fictional Cedar &amp; Co.</x:v>
      </x:c>
      <x:c r="I10" s="4"/>
      <x:c r="J10" s="33" t="str">
        <x:v>Leave type</x:v>
      </x:c>
      <x:c r="K10" s="33" t="str">
        <x:v>Annual entitlement</x:v>
      </x:c>
      <x:c r="L10" s="33" t="str">
        <x:v>Carry-in allowed</x:v>
      </x:c>
      <x:c r="M10" s="33" t="str">
        <x:v>Approval required</x:v>
      </x:c>
      <x:c r="N10" s="33" t="str">
        <x:v>Notes</x:v>
      </x:c>
      <x:c r="O10" s="4"/>
      <x:c r="P10" s="4"/>
      <x:c r="Q10" s="4"/>
      <x:c r="R10" s="4"/>
      <x:c r="S10" s="4"/>
      <x:c r="T10" s="4"/>
    </x:row>
    <x:row r="11">
      <x:c r="A11" s="24" t="str">
        <x:v>Plan year start</x:v>
      </x:c>
      <x:c r="B11" s="24" t="str">
        <x:v>Plan year start</x:v>
      </x:c>
      <x:c r="C11" s="24" t="str">
        <x:v>Plan year start</x:v>
      </x:c>
      <x:c r="D11" s="28" t="d">
        <x:v>2026-01-01T00:00:00.000Z</x:v>
      </x:c>
      <x:c r="E11" s="26" t="d">
        <x:v>2026-01-01T00:00:00.000Z</x:v>
      </x:c>
      <x:c r="F11" s="26" t="d">
        <x:v>2026-01-01T00:00:00.000Z</x:v>
      </x:c>
      <x:c r="G11" s="26" t="d">
        <x:v>2026-01-01T00:00:00.000Z</x:v>
      </x:c>
      <x:c r="H11" s="26" t="d">
        <x:v>2026-01-01T00:00:00.000Z</x:v>
      </x:c>
      <x:c r="I11" s="4"/>
      <x:c r="J11" s="26" t="str">
        <x:v>Annual Leave</x:v>
      </x:c>
      <x:c r="K11" s="29" t="n">
        <x:v>24</x:v>
      </x:c>
      <x:c r="L11" s="26" t="str">
        <x:v>Yes</x:v>
      </x:c>
      <x:c r="M11" s="26" t="str">
        <x:v>Yes</x:v>
      </x:c>
      <x:c r="N11" s="26" t="str">
        <x:v>Planned paid time away</x:v>
      </x:c>
      <x:c r="O11" s="4"/>
      <x:c r="P11" s="4"/>
      <x:c r="Q11" s="4"/>
      <x:c r="R11" s="4"/>
      <x:c r="S11" s="4"/>
      <x:c r="T11" s="4"/>
    </x:row>
    <x:row r="12">
      <x:c r="A12" s="24" t="str">
        <x:v>Plan year end</x:v>
      </x:c>
      <x:c r="B12" s="24" t="str">
        <x:v>Plan year end</x:v>
      </x:c>
      <x:c r="C12" s="24" t="str">
        <x:v>Plan year end</x:v>
      </x:c>
      <x:c r="D12" s="28" t="d">
        <x:v>2026-12-31T00:00:00.000Z</x:v>
      </x:c>
      <x:c r="E12" s="26" t="d">
        <x:v>2026-12-31T00:00:00.000Z</x:v>
      </x:c>
      <x:c r="F12" s="26" t="d">
        <x:v>2026-12-31T00:00:00.000Z</x:v>
      </x:c>
      <x:c r="G12" s="26" t="d">
        <x:v>2026-12-31T00:00:00.000Z</x:v>
      </x:c>
      <x:c r="H12" s="26" t="d">
        <x:v>2026-12-31T00:00:00.000Z</x:v>
      </x:c>
      <x:c r="I12" s="4"/>
      <x:c r="J12" s="26" t="str">
        <x:v>Sick Leave</x:v>
      </x:c>
      <x:c r="K12" s="29" t="n">
        <x:v>10</x:v>
      </x:c>
      <x:c r="L12" s="26" t="str">
        <x:v>Yes</x:v>
      </x:c>
      <x:c r="M12" s="26" t="str">
        <x:v>Yes</x:v>
      </x:c>
      <x:c r="N12" s="26" t="str">
        <x:v>Health-related absence</x:v>
      </x:c>
      <x:c r="O12" s="4"/>
      <x:c r="P12" s="4"/>
      <x:c r="Q12" s="4"/>
      <x:c r="R12" s="4"/>
      <x:c r="S12" s="4"/>
      <x:c r="T12" s="4"/>
    </x:row>
    <x:row r="13">
      <x:c r="A13" s="24" t="str">
        <x:v>Review date</x:v>
      </x:c>
      <x:c r="B13" s="24" t="str">
        <x:v>Review date</x:v>
      </x:c>
      <x:c r="C13" s="24" t="str">
        <x:v>Review date</x:v>
      </x:c>
      <x:c r="D13" s="28" t="d">
        <x:v>2026-10-27T00:00:00.000Z</x:v>
      </x:c>
      <x:c r="E13" s="26" t="d">
        <x:v>2026-10-27T00:00:00.000Z</x:v>
      </x:c>
      <x:c r="F13" s="26" t="d">
        <x:v>2026-10-27T00:00:00.000Z</x:v>
      </x:c>
      <x:c r="G13" s="26" t="d">
        <x:v>2026-10-27T00:00:00.000Z</x:v>
      </x:c>
      <x:c r="H13" s="26" t="d">
        <x:v>2026-10-27T00:00:00.000Z</x:v>
      </x:c>
      <x:c r="I13" s="4"/>
      <x:c r="J13" s="26" t="str">
        <x:v>Personal Leave</x:v>
      </x:c>
      <x:c r="K13" s="29" t="n">
        <x:v>5</x:v>
      </x:c>
      <x:c r="L13" s="26" t="str">
        <x:v>Yes</x:v>
      </x:c>
      <x:c r="M13" s="26" t="str">
        <x:v>Yes</x:v>
      </x:c>
      <x:c r="N13" s="26" t="str">
        <x:v>Short personal commitments</x:v>
      </x:c>
      <x:c r="O13" s="4"/>
      <x:c r="P13" s="4"/>
      <x:c r="Q13" s="4"/>
      <x:c r="R13" s="4"/>
      <x:c r="S13" s="4"/>
      <x:c r="T13" s="4"/>
    </x:row>
    <x:row r="14">
      <x:c r="A14" s="24" t="str">
        <x:v>Calendar month</x:v>
      </x:c>
      <x:c r="B14" s="24" t="str">
        <x:v>Calendar month</x:v>
      </x:c>
      <x:c r="C14" s="24" t="str">
        <x:v>Calendar month</x:v>
      </x:c>
      <x:c r="D14" s="28" t="d">
        <x:v>2026-11-01T00:00:00.000Z</x:v>
      </x:c>
      <x:c r="E14" s="26" t="d">
        <x:v>2026-11-01T00:00:00.000Z</x:v>
      </x:c>
      <x:c r="F14" s="26" t="d">
        <x:v>2026-11-01T00:00:00.000Z</x:v>
      </x:c>
      <x:c r="G14" s="26" t="d">
        <x:v>2026-11-01T00:00:00.000Z</x:v>
      </x:c>
      <x:c r="H14" s="26" t="d">
        <x:v>2026-11-01T00:00:00.000Z</x:v>
      </x:c>
      <x:c r="I14" s="4"/>
      <x:c r="J14" s="27" t="str">
        <x:v>Unpaid Leave</x:v>
      </x:c>
      <x:c r="K14" s="34" t="n">
        <x:v>0</x:v>
      </x:c>
      <x:c r="L14" s="27" t="str">
        <x:v>Yes</x:v>
      </x:c>
      <x:c r="M14" s="27" t="str">
        <x:v>Yes</x:v>
      </x:c>
      <x:c r="N14" s="27" t="str">
        <x:v>Approved unpaid absence</x:v>
      </x:c>
      <x:c r="O14" s="4"/>
      <x:c r="P14" s="4"/>
      <x:c r="Q14" s="4"/>
      <x:c r="R14" s="4"/>
      <x:c r="S14" s="4"/>
      <x:c r="T14" s="4"/>
    </x:row>
    <x:row r="15">
      <x:c r="A15" s="24" t="str">
        <x:v>Coverage test date</x:v>
      </x:c>
      <x:c r="B15" s="24" t="str">
        <x:v>Coverage test date</x:v>
      </x:c>
      <x:c r="C15" s="24" t="str">
        <x:v>Coverage test date</x:v>
      </x:c>
      <x:c r="D15" s="28" t="d">
        <x:v>2026-11-12T00:00:00.000Z</x:v>
      </x:c>
      <x:c r="E15" s="26" t="d">
        <x:v>2026-11-12T00:00:00.000Z</x:v>
      </x:c>
      <x:c r="F15" s="26" t="d">
        <x:v>2026-11-12T00:00:00.000Z</x:v>
      </x:c>
      <x:c r="G15" s="26" t="d">
        <x:v>2026-11-12T00:00:00.000Z</x:v>
      </x:c>
      <x:c r="H15" s="26" t="d">
        <x:v>2026-11-12T00:00:00.000Z</x:v>
      </x:c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24" t="str">
        <x:v>Low-balance threshold</x:v>
      </x:c>
      <x:c r="B16" s="24" t="str">
        <x:v>Low-balance threshold</x:v>
      </x:c>
      <x:c r="C16" s="24" t="str">
        <x:v>Low-balance threshold</x:v>
      </x:c>
      <x:c r="D16" s="29" t="n">
        <x:v>2</x:v>
      </x:c>
      <x:c r="E16" s="26" t="n">
        <x:v>2</x:v>
      </x:c>
      <x:c r="F16" s="26" t="n">
        <x:v>2</x:v>
      </x:c>
      <x:c r="G16" s="26" t="n">
        <x:v>2</x:v>
      </x:c>
      <x:c r="H16" s="26" t="n">
        <x:v>2</x:v>
      </x:c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25" t="str">
        <x:v>Currency</x:v>
      </x:c>
      <x:c r="B17" s="25" t="str">
        <x:v>Currency</x:v>
      </x:c>
      <x:c r="C17" s="25" t="str">
        <x:v>Currency</x:v>
      </x:c>
      <x:c r="D17" s="27" t="str">
        <x:v>USD</x:v>
      </x:c>
      <x:c r="E17" s="27" t="str">
        <x:v>USD</x:v>
      </x:c>
      <x:c r="F17" s="27" t="str">
        <x:v>USD</x:v>
      </x:c>
      <x:c r="G17" s="27" t="str">
        <x:v>USD</x:v>
      </x:c>
      <x:c r="H17" s="27" t="str">
        <x:v>USD</x:v>
      </x:c>
      <x:c r="I17" s="4"/>
      <x:c r="J17" s="22" t="str">
        <x:v>DEPARTMENT COVERAGE</x:v>
      </x:c>
      <x:c r="K17" s="22" t="str">
        <x:v>DEPARTMENT COVERAGE</x:v>
      </x:c>
      <x:c r="L17" s="22" t="str">
        <x:v>DEPARTMENT COVERAGE</x:v>
      </x:c>
      <x:c r="M17" s="22" t="str">
        <x:v>DEPARTMENT COVERAGE</x:v>
      </x:c>
      <x:c r="N17" s="22" t="str">
        <x:v>DEPARTMENT COVERAGE</x:v>
      </x:c>
      <x:c r="O17" s="4"/>
      <x:c r="P17" s="4"/>
      <x:c r="Q17" s="4"/>
      <x:c r="R17" s="4"/>
      <x:c r="S17" s="4"/>
      <x:c r="T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33" t="str">
        <x:v>Department</x:v>
      </x:c>
      <x:c r="K18" s="33" t="str">
        <x:v>Minimum required</x:v>
      </x:c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26" t="str">
        <x:v>Operations</x:v>
      </x:c>
      <x:c r="K19" s="26" t="n">
        <x:v>1</x:v>
      </x:c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22" t="str">
        <x:v>APPROVED LISTS</x:v>
      </x:c>
      <x:c r="B20" s="22" t="str">
        <x:v>APPROVED LISTS</x:v>
      </x:c>
      <x:c r="C20" s="22" t="str">
        <x:v>APPROVED LISTS</x:v>
      </x:c>
      <x:c r="D20" s="22" t="str">
        <x:v>APPROVED LISTS</x:v>
      </x:c>
      <x:c r="E20" s="22" t="str">
        <x:v>APPROVED LISTS</x:v>
      </x:c>
      <x:c r="F20" s="22" t="str">
        <x:v>APPROVED LISTS</x:v>
      </x:c>
      <x:c r="G20" s="22" t="str">
        <x:v>APPROVED LISTS</x:v>
      </x:c>
      <x:c r="H20" s="22" t="str">
        <x:v>APPROVED LISTS</x:v>
      </x:c>
      <x:c r="I20" s="4"/>
      <x:c r="J20" s="26" t="str">
        <x:v>Sales</x:v>
      </x:c>
      <x:c r="K20" s="26" t="n">
        <x:v>1</x:v>
      </x:c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33" t="str">
        <x:v>Status</x:v>
      </x:c>
      <x:c r="B21" s="33"/>
      <x:c r="C21" s="33" t="str">
        <x:v>Status</x:v>
      </x:c>
      <x:c r="D21" s="33"/>
      <x:c r="E21" s="33" t="str">
        <x:v>Day unit</x:v>
      </x:c>
      <x:c r="F21" s="33"/>
      <x:c r="G21" s="33" t="str">
        <x:v>Approval required</x:v>
      </x:c>
      <x:c r="H21" s="33"/>
      <x:c r="I21" s="4"/>
      <x:c r="J21" s="26" t="str">
        <x:v>Finance</x:v>
      </x:c>
      <x:c r="K21" s="26" t="n">
        <x:v>1</x:v>
      </x:c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26" t="str">
        <x:v>Pending</x:v>
      </x:c>
      <x:c r="B22" s="26"/>
      <x:c r="C22" s="26" t="str">
        <x:v>Active</x:v>
      </x:c>
      <x:c r="D22" s="26"/>
      <x:c r="E22" s="26" t="n">
        <x:v>1</x:v>
      </x:c>
      <x:c r="F22" s="26"/>
      <x:c r="G22" s="26" t="str">
        <x:v>Yes</x:v>
      </x:c>
      <x:c r="H22" s="26"/>
      <x:c r="I22" s="4"/>
      <x:c r="J22" s="26" t="str">
        <x:v>Marketing</x:v>
      </x:c>
      <x:c r="K22" s="26" t="n">
        <x:v>1</x:v>
      </x:c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26" t="str">
        <x:v>Approved</x:v>
      </x:c>
      <x:c r="B23" s="26"/>
      <x:c r="C23" s="26" t="str">
        <x:v>Inactive</x:v>
      </x:c>
      <x:c r="D23" s="26"/>
      <x:c r="E23" s="26" t="n">
        <x:v>0.5</x:v>
      </x:c>
      <x:c r="F23" s="26"/>
      <x:c r="G23" s="26" t="str">
        <x:v>No</x:v>
      </x:c>
      <x:c r="H23" s="26"/>
      <x:c r="I23" s="4"/>
      <x:c r="J23" s="27" t="str">
        <x:v>Client Success</x:v>
      </x:c>
      <x:c r="K23" s="27" t="n">
        <x:v>1</x:v>
      </x:c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26" t="str">
        <x:v>Declined</x:v>
      </x:c>
      <x:c r="B24" s="26"/>
      <x:c r="C24" s="26" t="str">
        <x:v>On Leave</x:v>
      </x:c>
      <x:c r="D24" s="26"/>
      <x:c r="E24" s="26"/>
      <x:c r="F24" s="26"/>
      <x:c r="G24" s="26"/>
      <x:c r="H24" s="26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27" t="str">
        <x:v>Cancelled</x:v>
      </x:c>
      <x:c r="B25" s="27"/>
      <x:c r="C25" s="27"/>
      <x:c r="D25" s="27"/>
      <x:c r="E25" s="27"/>
      <x:c r="F25" s="27"/>
      <x:c r="G25" s="27"/>
      <x:c r="H25" s="27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45" t="str">
        <x:v>Fictional sample data is included. Replace it before operational use and confirm local employment rules. This workbook supports administration; it is not legal advice.</x:v>
      </x:c>
      <x:c r="B29" s="46" t="str">
        <x:v>Fictional sample data is included. Replace it before operational use and confirm local employment rules. This workbook supports administration; it is not legal advice.</x:v>
      </x:c>
      <x:c r="C29" s="46" t="str">
        <x:v>Fictional sample data is included. Replace it before operational use and confirm local employment rules. This workbook supports administration; it is not legal advice.</x:v>
      </x:c>
      <x:c r="D29" s="46" t="str">
        <x:v>Fictional sample data is included. Replace it before operational use and confirm local employment rules. This workbook supports administration; it is not legal advice.</x:v>
      </x:c>
      <x:c r="E29" s="46" t="str">
        <x:v>Fictional sample data is included. Replace it before operational use and confirm local employment rules. This workbook supports administration; it is not legal advice.</x:v>
      </x:c>
      <x:c r="F29" s="46" t="str">
        <x:v>Fictional sample data is included. Replace it before operational use and confirm local employment rules. This workbook supports administration; it is not legal advice.</x:v>
      </x:c>
      <x:c r="G29" s="46" t="str">
        <x:v>Fictional sample data is included. Replace it before operational use and confirm local employment rules. This workbook supports administration; it is not legal advice.</x:v>
      </x:c>
      <x:c r="H29" s="46" t="str">
        <x:v>Fictional sample data is included. Replace it before operational use and confirm local employment rules. This workbook supports administration; it is not legal advice.</x:v>
      </x:c>
      <x:c r="I29" s="46" t="str">
        <x:v>Fictional sample data is included. Replace it before operational use and confirm local employment rules. This workbook supports administration; it is not legal advice.</x:v>
      </x:c>
      <x:c r="J29" s="46" t="str">
        <x:v>Fictional sample data is included. Replace it before operational use and confirm local employment rules. This workbook supports administration; it is not legal advice.</x:v>
      </x:c>
      <x:c r="K29" s="46" t="str">
        <x:v>Fictional sample data is included. Replace it before operational use and confirm local employment rules. This workbook supports administration; it is not legal advice.</x:v>
      </x:c>
      <x:c r="L29" s="46" t="str">
        <x:v>Fictional sample data is included. Replace it before operational use and confirm local employment rules. This workbook supports administration; it is not legal advice.</x:v>
      </x:c>
      <x:c r="M29" s="46" t="str">
        <x:v>Fictional sample data is included. Replace it before operational use and confirm local employment rules. This workbook supports administration; it is not legal advice.</x:v>
      </x:c>
      <x:c r="N29" s="47" t="str">
        <x:v>Fictional sample data is included. Replace it before operational use and confirm local employment rules. This workbook supports administration; it is not legal advice.</x:v>
      </x:c>
      <x:c r="O29" s="4"/>
      <x:c r="P29" s="4"/>
      <x:c r="Q29" s="4"/>
      <x:c r="R29" s="4"/>
      <x:c r="S29" s="4"/>
      <x:c r="T29" s="4"/>
    </x:row>
    <x:row r="30">
      <x:c r="A30" s="48" t="str">
        <x:v>Fictional sample data is included. Replace it before operational use and confirm local employment rules. This workbook supports administration; it is not legal advice.</x:v>
      </x:c>
      <x:c r="B30" s="49" t="str">
        <x:v>Fictional sample data is included. Replace it before operational use and confirm local employment rules. This workbook supports administration; it is not legal advice.</x:v>
      </x:c>
      <x:c r="C30" s="49" t="str">
        <x:v>Fictional sample data is included. Replace it before operational use and confirm local employment rules. This workbook supports administration; it is not legal advice.</x:v>
      </x:c>
      <x:c r="D30" s="49" t="str">
        <x:v>Fictional sample data is included. Replace it before operational use and confirm local employment rules. This workbook supports administration; it is not legal advice.</x:v>
      </x:c>
      <x:c r="E30" s="49" t="str">
        <x:v>Fictional sample data is included. Replace it before operational use and confirm local employment rules. This workbook supports administration; it is not legal advice.</x:v>
      </x:c>
      <x:c r="F30" s="49" t="str">
        <x:v>Fictional sample data is included. Replace it before operational use and confirm local employment rules. This workbook supports administration; it is not legal advice.</x:v>
      </x:c>
      <x:c r="G30" s="49" t="str">
        <x:v>Fictional sample data is included. Replace it before operational use and confirm local employment rules. This workbook supports administration; it is not legal advice.</x:v>
      </x:c>
      <x:c r="H30" s="49" t="str">
        <x:v>Fictional sample data is included. Replace it before operational use and confirm local employment rules. This workbook supports administration; it is not legal advice.</x:v>
      </x:c>
      <x:c r="I30" s="49" t="str">
        <x:v>Fictional sample data is included. Replace it before operational use and confirm local employment rules. This workbook supports administration; it is not legal advice.</x:v>
      </x:c>
      <x:c r="J30" s="49" t="str">
        <x:v>Fictional sample data is included. Replace it before operational use and confirm local employment rules. This workbook supports administration; it is not legal advice.</x:v>
      </x:c>
      <x:c r="K30" s="49" t="str">
        <x:v>Fictional sample data is included. Replace it before operational use and confirm local employment rules. This workbook supports administration; it is not legal advice.</x:v>
      </x:c>
      <x:c r="L30" s="49" t="str">
        <x:v>Fictional sample data is included. Replace it before operational use and confirm local employment rules. This workbook supports administration; it is not legal advice.</x:v>
      </x:c>
      <x:c r="M30" s="49" t="str">
        <x:v>Fictional sample data is included. Replace it before operational use and confirm local employment rules. This workbook supports administration; it is not legal advice.</x:v>
      </x:c>
      <x:c r="N30" s="50" t="str">
        <x:v>Fictional sample data is included. Replace it before operational use and confirm local employment rules. This workbook supports administration; it is not legal advice.</x:v>
      </x:c>
      <x:c r="O30" s="4"/>
      <x:c r="P30" s="4"/>
      <x:c r="Q30" s="4"/>
      <x:c r="R30" s="4"/>
      <x:c r="S30" s="4"/>
      <x:c r="T30" s="4"/>
    </x:row>
    <x:row r="31">
      <x:c r="A31" s="48" t="str">
        <x:v>Fictional sample data is included. Replace it before operational use and confirm local employment rules. This workbook supports administration; it is not legal advice.</x:v>
      </x:c>
      <x:c r="B31" s="49" t="str">
        <x:v>Fictional sample data is included. Replace it before operational use and confirm local employment rules. This workbook supports administration; it is not legal advice.</x:v>
      </x:c>
      <x:c r="C31" s="49" t="str">
        <x:v>Fictional sample data is included. Replace it before operational use and confirm local employment rules. This workbook supports administration; it is not legal advice.</x:v>
      </x:c>
      <x:c r="D31" s="49" t="str">
        <x:v>Fictional sample data is included. Replace it before operational use and confirm local employment rules. This workbook supports administration; it is not legal advice.</x:v>
      </x:c>
      <x:c r="E31" s="49" t="str">
        <x:v>Fictional sample data is included. Replace it before operational use and confirm local employment rules. This workbook supports administration; it is not legal advice.</x:v>
      </x:c>
      <x:c r="F31" s="49" t="str">
        <x:v>Fictional sample data is included. Replace it before operational use and confirm local employment rules. This workbook supports administration; it is not legal advice.</x:v>
      </x:c>
      <x:c r="G31" s="49" t="str">
        <x:v>Fictional sample data is included. Replace it before operational use and confirm local employment rules. This workbook supports administration; it is not legal advice.</x:v>
      </x:c>
      <x:c r="H31" s="49" t="str">
        <x:v>Fictional sample data is included. Replace it before operational use and confirm local employment rules. This workbook supports administration; it is not legal advice.</x:v>
      </x:c>
      <x:c r="I31" s="49" t="str">
        <x:v>Fictional sample data is included. Replace it before operational use and confirm local employment rules. This workbook supports administration; it is not legal advice.</x:v>
      </x:c>
      <x:c r="J31" s="49" t="str">
        <x:v>Fictional sample data is included. Replace it before operational use and confirm local employment rules. This workbook supports administration; it is not legal advice.</x:v>
      </x:c>
      <x:c r="K31" s="49" t="str">
        <x:v>Fictional sample data is included. Replace it before operational use and confirm local employment rules. This workbook supports administration; it is not legal advice.</x:v>
      </x:c>
      <x:c r="L31" s="49" t="str">
        <x:v>Fictional sample data is included. Replace it before operational use and confirm local employment rules. This workbook supports administration; it is not legal advice.</x:v>
      </x:c>
      <x:c r="M31" s="49" t="str">
        <x:v>Fictional sample data is included. Replace it before operational use and confirm local employment rules. This workbook supports administration; it is not legal advice.</x:v>
      </x:c>
      <x:c r="N31" s="50" t="str">
        <x:v>Fictional sample data is included. Replace it before operational use and confirm local employment rules. This workbook supports administration; it is not legal advice.</x:v>
      </x:c>
      <x:c r="O31" s="4"/>
      <x:c r="P31" s="4"/>
      <x:c r="Q31" s="4"/>
      <x:c r="R31" s="4"/>
      <x:c r="S31" s="4"/>
      <x:c r="T31" s="4"/>
    </x:row>
    <x:row r="32">
      <x:c r="A32" s="51" t="str">
        <x:v>Fictional sample data is included. Replace it before operational use and confirm local employment rules. This workbook supports administration; it is not legal advice.</x:v>
      </x:c>
      <x:c r="B32" s="52" t="str">
        <x:v>Fictional sample data is included. Replace it before operational use and confirm local employment rules. This workbook supports administration; it is not legal advice.</x:v>
      </x:c>
      <x:c r="C32" s="52" t="str">
        <x:v>Fictional sample data is included. Replace it before operational use and confirm local employment rules. This workbook supports administration; it is not legal advice.</x:v>
      </x:c>
      <x:c r="D32" s="52" t="str">
        <x:v>Fictional sample data is included. Replace it before operational use and confirm local employment rules. This workbook supports administration; it is not legal advice.</x:v>
      </x:c>
      <x:c r="E32" s="52" t="str">
        <x:v>Fictional sample data is included. Replace it before operational use and confirm local employment rules. This workbook supports administration; it is not legal advice.</x:v>
      </x:c>
      <x:c r="F32" s="52" t="str">
        <x:v>Fictional sample data is included. Replace it before operational use and confirm local employment rules. This workbook supports administration; it is not legal advice.</x:v>
      </x:c>
      <x:c r="G32" s="52" t="str">
        <x:v>Fictional sample data is included. Replace it before operational use and confirm local employment rules. This workbook supports administration; it is not legal advice.</x:v>
      </x:c>
      <x:c r="H32" s="52" t="str">
        <x:v>Fictional sample data is included. Replace it before operational use and confirm local employment rules. This workbook supports administration; it is not legal advice.</x:v>
      </x:c>
      <x:c r="I32" s="52" t="str">
        <x:v>Fictional sample data is included. Replace it before operational use and confirm local employment rules. This workbook supports administration; it is not legal advice.</x:v>
      </x:c>
      <x:c r="J32" s="52" t="str">
        <x:v>Fictional sample data is included. Replace it before operational use and confirm local employment rules. This workbook supports administration; it is not legal advice.</x:v>
      </x:c>
      <x:c r="K32" s="52" t="str">
        <x:v>Fictional sample data is included. Replace it before operational use and confirm local employment rules. This workbook supports administration; it is not legal advice.</x:v>
      </x:c>
      <x:c r="L32" s="52" t="str">
        <x:v>Fictional sample data is included. Replace it before operational use and confirm local employment rules. This workbook supports administration; it is not legal advice.</x:v>
      </x:c>
      <x:c r="M32" s="52" t="str">
        <x:v>Fictional sample data is included. Replace it before operational use and confirm local employment rules. This workbook supports administration; it is not legal advice.</x:v>
      </x:c>
      <x:c r="N32" s="53" t="str">
        <x:v>Fictional sample data is included. Replace it before operational use and confirm local employment rules. This workbook supports administration; it is not legal advice.</x:v>
      </x:c>
      <x:c r="O32" s="4"/>
      <x:c r="P32" s="4"/>
      <x:c r="Q32" s="4"/>
      <x:c r="R32" s="4"/>
      <x:c r="S32" s="4"/>
      <x:c r="T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9:H9"/>
    <x:mergeCell ref="A10:C10"/>
    <x:mergeCell ref="D10:H10"/>
    <x:mergeCell ref="A11:C11"/>
    <x:mergeCell ref="D11:H11"/>
    <x:mergeCell ref="A12:C12"/>
    <x:mergeCell ref="D12:H12"/>
    <x:mergeCell ref="A13:C13"/>
    <x:mergeCell ref="D13:H13"/>
    <x:mergeCell ref="A14:C14"/>
    <x:mergeCell ref="D14:H14"/>
    <x:mergeCell ref="A15:C15"/>
    <x:mergeCell ref="D15:H15"/>
    <x:mergeCell ref="A16:C16"/>
    <x:mergeCell ref="D16:H16"/>
    <x:mergeCell ref="A17:C17"/>
    <x:mergeCell ref="D17:H17"/>
    <x:mergeCell ref="J9:N9"/>
    <x:mergeCell ref="J17:N17"/>
    <x:mergeCell ref="A20:H20"/>
    <x:mergeCell ref="A29:N32"/>
  </x:mergeCells>
  <x:pageMargins left="0.7" right="0.7" top="0.75" bottom="0.75" header="0.3" footer="0.3"/>
  <x:tableParts count="2">
    <x:tablePart xmlns:r="http://schemas.openxmlformats.org/officeDocument/2006/relationships" r:id="R007f8699442f426e"/>
    <x:tablePart xmlns:r="http://schemas.openxmlformats.org/officeDocument/2006/relationships" r:id="Ra36dec4de13a4f6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18" hidden="0" customWidth="1"/>
    <x:col min="4" max="4" width="20" hidden="0" customWidth="1"/>
    <x:col min="5" max="5" width="13" hidden="0" customWidth="1"/>
    <x:col min="6" max="6" width="13" hidden="0" customWidth="1"/>
    <x:col min="7" max="7" width="10" hidden="0" customWidth="1"/>
    <x:col min="8" max="8" width="26" hidden="0" customWidth="1"/>
    <x:col min="9" max="9" width="14" hidden="0" customWidth="1"/>
    <x:col min="10" max="10" width="27" hidden="0" customWidth="1"/>
    <x:col min="11" max="11" width="13" hidden="0" customWidth="1"/>
    <x:col min="27" max="27" width="2" hidden="1" customWidth="1"/>
    <x:col min="28" max="28" width="2" hidden="1" customWidth="1"/>
  </x:cols>
  <x:sheetData>
    <x:row r="1" ht="20" customHeight="1">
      <x:c r="A1" s="12" t="str">
        <x:v>Home</x:v>
      </x:c>
      <x:c r="B1" s="13" t="str">
        <x:v>Home</x:v>
      </x:c>
      <x:c r="C1" s="12" t="str">
        <x:v>Setup</x:v>
      </x:c>
      <x:c r="D1" s="13" t="str">
        <x:v>Setup</x:v>
      </x:c>
      <x:c r="E1" s="9" t="str">
        <x:v>Employees</x:v>
      </x:c>
      <x:c r="F1" s="10" t="str">
        <x:v>Employees</x:v>
      </x:c>
      <x:c r="G1" s="12" t="str">
        <x:v>Requests</x:v>
      </x:c>
      <x:c r="H1" s="13" t="str">
        <x:v>Requests</x:v>
      </x:c>
      <x:c r="I1" s="12" t="str">
        <x:v>Balances</x:v>
      </x:c>
      <x:c r="J1" s="13" t="str">
        <x:v>Balances</x:v>
      </x:c>
      <x:c r="K1" s="12" t="str">
        <x:v>Calendar</x:v>
      </x:c>
      <x:c r="L1" s="13" t="str">
        <x:v>Calendar</x:v>
      </x:c>
      <x:c r="M1" s="12" t="str">
        <x:v>Coverage</x:v>
      </x:c>
      <x:c r="N1" s="13" t="str">
        <x:v>Coverage</x:v>
      </x:c>
      <x:c r="O1" s="12" t="str">
        <x:v>Dashboard</x:v>
      </x:c>
      <x:c r="P1" s="13" t="str">
        <x:v>Dashboard</x:v>
      </x:c>
      <x:c r="Q1" s="12" t="str">
        <x:v>Audit</x:v>
      </x:c>
      <x:c r="R1" s="13" t="str">
        <x:v>Audit</x:v>
      </x:c>
      <x:c r="S1" s="6"/>
      <x:c r="T1" s="6"/>
    </x:row>
    <x:row r="2" ht="20" customHeight="1">
      <x:c r="A2" s="12" t="str">
        <x:v>Home</x:v>
      </x:c>
      <x:c r="B2" s="13" t="str">
        <x:v>Home</x:v>
      </x:c>
      <x:c r="C2" s="12" t="str">
        <x:v>Setup</x:v>
      </x:c>
      <x:c r="D2" s="13" t="str">
        <x:v>Setup</x:v>
      </x:c>
      <x:c r="E2" s="9" t="str">
        <x:v>Employees</x:v>
      </x:c>
      <x:c r="F2" s="10" t="str">
        <x:v>Employees</x:v>
      </x:c>
      <x:c r="G2" s="12" t="str">
        <x:v>Requests</x:v>
      </x:c>
      <x:c r="H2" s="13" t="str">
        <x:v>Requests</x:v>
      </x:c>
      <x:c r="I2" s="12" t="str">
        <x:v>Balances</x:v>
      </x:c>
      <x:c r="J2" s="13" t="str">
        <x:v>Balances</x:v>
      </x:c>
      <x:c r="K2" s="12" t="str">
        <x:v>Calendar</x:v>
      </x:c>
      <x:c r="L2" s="13" t="str">
        <x:v>Calendar</x:v>
      </x:c>
      <x:c r="M2" s="12" t="str">
        <x:v>Coverage</x:v>
      </x:c>
      <x:c r="N2" s="13" t="str">
        <x:v>Coverage</x:v>
      </x:c>
      <x:c r="O2" s="12" t="str">
        <x:v>Dashboard</x:v>
      </x:c>
      <x:c r="P2" s="13" t="str">
        <x:v>Dashboard</x:v>
      </x:c>
      <x:c r="Q2" s="12" t="str">
        <x:v>Audit</x:v>
      </x:c>
      <x:c r="R2" s="13" t="str">
        <x:v>Audit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PEOPLE REGISTER</x:v>
      </x:c>
      <x:c r="B4" s="15" t="str">
        <x:v>PEOPLE REGISTER</x:v>
      </x:c>
      <x:c r="C4" s="15" t="str">
        <x:v>PEOPLE REGISTER</x:v>
      </x:c>
      <x:c r="D4" s="15" t="str">
        <x:v>PEOPLE REGISTER</x:v>
      </x:c>
      <x:c r="E4" s="15" t="str">
        <x:v>PEOPLE REGISTER</x:v>
      </x:c>
      <x:c r="F4" s="15" t="str">
        <x:v>PEOPLE REGISTER</x:v>
      </x:c>
      <x:c r="G4" s="15" t="str">
        <x:v>PEOPLE REGISTER</x:v>
      </x:c>
      <x:c r="H4" s="15" t="str">
        <x:v>PEOPLE REGISTER</x:v>
      </x:c>
      <x:c r="I4" s="15" t="str">
        <x:v>PEOPLE REGISTER</x:v>
      </x:c>
      <x:c r="J4" s="15" t="str">
        <x:v>PEOPLE REGISTER</x:v>
      </x:c>
      <x:c r="K4" s="15" t="str">
        <x:v>PEOPLE REGISTER</x:v>
      </x:c>
      <x:c r="L4" s="15" t="str">
        <x:v>PEOPLE REGISTER</x:v>
      </x:c>
      <x:c r="M4" s="15" t="str">
        <x:v>PEOPLE REGISTER</x:v>
      </x:c>
      <x:c r="N4" s="15" t="str">
        <x:v>PEOPLE REGISTER</x:v>
      </x:c>
      <x:c r="O4" s="15" t="str">
        <x:v>PEOPLE REGISTER</x:v>
      </x:c>
      <x:c r="P4" s="15" t="str">
        <x:v>PEOPLE REGISTER</x:v>
      </x:c>
      <x:c r="Q4" s="15" t="str">
        <x:v>PEOPLE REGISTER</x:v>
      </x:c>
      <x:c r="R4" s="15" t="str">
        <x:v>PEOPLE REGISTER</x:v>
      </x:c>
      <x:c r="S4" s="15" t="str">
        <x:v>PEOPLE REGISTER</x:v>
      </x:c>
      <x:c r="T4" s="15" t="str">
        <x:v>PEOPLE REGISTER</x:v>
      </x:c>
    </x:row>
    <x:row r="5" ht="24" customHeight="1">
      <x:c r="A5" s="17" t="str">
        <x:v>Employee Leave Profiles</x:v>
      </x:c>
      <x:c r="B5" s="17" t="str">
        <x:v>Employee Leave Profiles</x:v>
      </x:c>
      <x:c r="C5" s="17" t="str">
        <x:v>Employee Leave Profiles</x:v>
      </x:c>
      <x:c r="D5" s="17" t="str">
        <x:v>Employee Leave Profiles</x:v>
      </x:c>
      <x:c r="E5" s="17" t="str">
        <x:v>Employee Leave Profiles</x:v>
      </x:c>
      <x:c r="F5" s="17" t="str">
        <x:v>Employee Leave Profiles</x:v>
      </x:c>
      <x:c r="G5" s="17" t="str">
        <x:v>Employee Leave Profiles</x:v>
      </x:c>
      <x:c r="H5" s="17" t="str">
        <x:v>Employee Leave Profiles</x:v>
      </x:c>
      <x:c r="I5" s="17" t="str">
        <x:v>Employee Leave Profiles</x:v>
      </x:c>
      <x:c r="J5" s="17" t="str">
        <x:v>Employee Leave Profiles</x:v>
      </x:c>
      <x:c r="K5" s="17" t="str">
        <x:v>Employee Leave Profiles</x:v>
      </x:c>
      <x:c r="L5" s="17" t="str">
        <x:v>Employee Leave Profiles</x:v>
      </x:c>
      <x:c r="M5" s="17" t="str">
        <x:v>Employee Leave Profiles</x:v>
      </x:c>
      <x:c r="N5" s="17" t="str">
        <x:v>Employee Leave Profiles</x:v>
      </x:c>
      <x:c r="O5" s="17" t="str">
        <x:v>Employee Leave Profiles</x:v>
      </x:c>
      <x:c r="P5" s="17" t="str">
        <x:v>Employee Leave Profiles</x:v>
      </x:c>
      <x:c r="Q5" s="17" t="str">
        <x:v>Employee Leave Profiles</x:v>
      </x:c>
      <x:c r="R5" s="17" t="str">
        <x:v>Employee Leave Profiles</x:v>
      </x:c>
      <x:c r="S5" s="17" t="str">
        <x:v>Employee Leave Profiles</x:v>
      </x:c>
      <x:c r="T5" s="17" t="str">
        <x:v>Employee Leave Profiles</x:v>
      </x:c>
    </x:row>
    <x:row r="6" ht="24" customHeight="1">
      <x:c r="A6" s="18" t="str">
        <x:v>Employee Leave Profiles</x:v>
      </x:c>
      <x:c r="B6" s="18" t="str">
        <x:v>Employee Leave Profiles</x:v>
      </x:c>
      <x:c r="C6" s="18" t="str">
        <x:v>Employee Leave Profiles</x:v>
      </x:c>
      <x:c r="D6" s="18" t="str">
        <x:v>Employee Leave Profiles</x:v>
      </x:c>
      <x:c r="E6" s="18" t="str">
        <x:v>Employee Leave Profiles</x:v>
      </x:c>
      <x:c r="F6" s="18" t="str">
        <x:v>Employee Leave Profiles</x:v>
      </x:c>
      <x:c r="G6" s="18" t="str">
        <x:v>Employee Leave Profiles</x:v>
      </x:c>
      <x:c r="H6" s="18" t="str">
        <x:v>Employee Leave Profiles</x:v>
      </x:c>
      <x:c r="I6" s="18" t="str">
        <x:v>Employee Leave Profiles</x:v>
      </x:c>
      <x:c r="J6" s="18" t="str">
        <x:v>Employee Leave Profiles</x:v>
      </x:c>
      <x:c r="K6" s="18" t="str">
        <x:v>Employee Leave Profiles</x:v>
      </x:c>
      <x:c r="L6" s="18" t="str">
        <x:v>Employee Leave Profiles</x:v>
      </x:c>
      <x:c r="M6" s="18" t="str">
        <x:v>Employee Leave Profiles</x:v>
      </x:c>
      <x:c r="N6" s="18" t="str">
        <x:v>Employee Leave Profiles</x:v>
      </x:c>
      <x:c r="O6" s="18" t="str">
        <x:v>Employee Leave Profiles</x:v>
      </x:c>
      <x:c r="P6" s="18" t="str">
        <x:v>Employee Leave Profiles</x:v>
      </x:c>
      <x:c r="Q6" s="18" t="str">
        <x:v>Employee Leave Profiles</x:v>
      </x:c>
      <x:c r="R6" s="18" t="str">
        <x:v>Employee Leave Profiles</x:v>
      </x:c>
      <x:c r="S6" s="18" t="str">
        <x:v>Employee Leave Profiles</x:v>
      </x:c>
      <x:c r="T6" s="18" t="str">
        <x:v>Employee Leave Profiles</x:v>
      </x:c>
    </x:row>
    <x:row r="7" ht="18" customHeight="1">
      <x:c r="A7" s="20" t="str">
        <x:v>Maintain the employee roster, reporting lines, employment status, and work capacity.</x:v>
      </x:c>
      <x:c r="B7" s="20" t="str">
        <x:v>Maintain the employee roster, reporting lines, employment status, and work capacity.</x:v>
      </x:c>
      <x:c r="C7" s="20" t="str">
        <x:v>Maintain the employee roster, reporting lines, employment status, and work capacity.</x:v>
      </x:c>
      <x:c r="D7" s="20" t="str">
        <x:v>Maintain the employee roster, reporting lines, employment status, and work capacity.</x:v>
      </x:c>
      <x:c r="E7" s="20" t="str">
        <x:v>Maintain the employee roster, reporting lines, employment status, and work capacity.</x:v>
      </x:c>
      <x:c r="F7" s="20" t="str">
        <x:v>Maintain the employee roster, reporting lines, employment status, and work capacity.</x:v>
      </x:c>
      <x:c r="G7" s="20" t="str">
        <x:v>Maintain the employee roster, reporting lines, employment status, and work capacity.</x:v>
      </x:c>
      <x:c r="H7" s="20" t="str">
        <x:v>Maintain the employee roster, reporting lines, employment status, and work capacity.</x:v>
      </x:c>
      <x:c r="I7" s="20" t="str">
        <x:v>Maintain the employee roster, reporting lines, employment status, and work capacity.</x:v>
      </x:c>
      <x:c r="J7" s="20" t="str">
        <x:v>Maintain the employee roster, reporting lines, employment status, and work capacity.</x:v>
      </x:c>
      <x:c r="K7" s="20" t="str">
        <x:v>Maintain the employee roster, reporting lines, employment status, and work capacity.</x:v>
      </x:c>
      <x:c r="L7" s="20" t="str">
        <x:v>Maintain the employee roster, reporting lines, employment status, and work capacity.</x:v>
      </x:c>
      <x:c r="M7" s="20" t="str">
        <x:v>Maintain the employee roster, reporting lines, employment status, and work capacity.</x:v>
      </x:c>
      <x:c r="N7" s="20" t="str">
        <x:v>Maintain the employee roster, reporting lines, employment status, and work capacity.</x:v>
      </x:c>
      <x:c r="O7" s="20" t="str">
        <x:v>Maintain the employee roster, reporting lines, employment status, and work capacity.</x:v>
      </x:c>
      <x:c r="P7" s="20" t="str">
        <x:v>Maintain the employee roster, reporting lines, employment status, and work capacity.</x:v>
      </x:c>
      <x:c r="Q7" s="20" t="str">
        <x:v>Maintain the employee roster, reporting lines, employment status, and work capacity.</x:v>
      </x:c>
      <x:c r="R7" s="20" t="str">
        <x:v>Maintain the employee roster, reporting lines, employment status, and work capacity.</x:v>
      </x:c>
      <x:c r="S7" s="20" t="str">
        <x:v>Maintain the employee roster, reporting lines, employment status, and work capacity.</x:v>
      </x:c>
      <x:c r="T7" s="20" t="str">
        <x:v>Maintain the employee roster, reporting lines, employment status, and work capacity.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Employee ID</x:v>
      </x:c>
      <x:c r="B10" s="33" t="str">
        <x:v>Employee name</x:v>
      </x:c>
      <x:c r="C10" s="33" t="str">
        <x:v>Department</x:v>
      </x:c>
      <x:c r="D10" s="33" t="str">
        <x:v>Manager</x:v>
      </x:c>
      <x:c r="E10" s="33" t="str">
        <x:v>Hire date</x:v>
      </x:c>
      <x:c r="F10" s="33" t="str">
        <x:v>Status</x:v>
      </x:c>
      <x:c r="G10" s="33" t="str">
        <x:v>FTE</x:v>
      </x:c>
      <x:c r="H10" s="33" t="str">
        <x:v>Work email</x:v>
      </x:c>
      <x:c r="I10" s="33" t="str">
        <x:v>Location</x:v>
      </x:c>
      <x:c r="J10" s="33" t="str">
        <x:v>Opening note</x:v>
      </x:c>
      <x:c r="K10" s="33" t="str">
        <x:v>Data check</x:v>
      </x:c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26" t="str">
        <x:v>EMP-001</x:v>
      </x:c>
      <x:c r="B11" s="26" t="str">
        <x:v>Maya Bennett</x:v>
      </x:c>
      <x:c r="C11" s="26" t="str">
        <x:v>Operations</x:v>
      </x:c>
      <x:c r="D11" s="26" t="str">
        <x:v>Omar Haddad</x:v>
      </x:c>
      <x:c r="E11" s="28" t="d">
        <x:v>2022-03-14T00:00:00.000Z</x:v>
      </x:c>
      <x:c r="F11" s="26" t="str">
        <x:v>Active</x:v>
      </x:c>
      <x:c r="G11" s="58" t="n">
        <x:v>1</x:v>
      </x:c>
      <x:c r="H11" s="26" t="str">
        <x:v>maya@cedar.example</x:v>
      </x:c>
      <x:c r="I11" s="26" t="str">
        <x:v>Dubai</x:v>
      </x:c>
      <x:c r="J11" s="26" t="str">
        <x:v>Operations lead</x:v>
      </x:c>
      <x:c r="K11" s="55" t="str">
        <x:f>IF(A11="","",IF(OR(B11="",C11="",E11="",F11="",G11&lt;=0,G11&gt;1,COUNTIF($A$11:$A$60,A11)&gt;1),"ERROR","PASS"))</x:f>
        <x:v>PASS</x:v>
      </x:c>
      <x:c r="L11" s="4"/>
      <x:c r="M11" s="4"/>
      <x:c r="N11" s="4"/>
      <x:c r="O11" s="4"/>
      <x:c r="P11" s="4"/>
      <x:c r="Q11" s="4"/>
      <x:c r="R11" s="4"/>
      <x:c r="S11" s="4"/>
      <x:c r="T11" s="4"/>
      <x:c r="AA11" s="54" t="str">
        <x:v>Operations</x:v>
      </x:c>
      <x:c r="AB11" s="54" t="str">
        <x:v>Active</x:v>
      </x:c>
    </x:row>
    <x:row r="12">
      <x:c r="A12" s="26" t="str">
        <x:v>EMP-002</x:v>
      </x:c>
      <x:c r="B12" s="26" t="str">
        <x:v>Omar Haddad</x:v>
      </x:c>
      <x:c r="C12" s="26" t="str">
        <x:v>Operations</x:v>
      </x:c>
      <x:c r="D12" s="26" t="str">
        <x:v>Leila Mansour</x:v>
      </x:c>
      <x:c r="E12" s="28" t="d">
        <x:v>2021-08-02T00:00:00.000Z</x:v>
      </x:c>
      <x:c r="F12" s="26" t="str">
        <x:v>Active</x:v>
      </x:c>
      <x:c r="G12" s="58" t="n">
        <x:v>1</x:v>
      </x:c>
      <x:c r="H12" s="26" t="str">
        <x:v>omar@cedar.example</x:v>
      </x:c>
      <x:c r="I12" s="26" t="str">
        <x:v>Dubai</x:v>
      </x:c>
      <x:c r="J12" s="26" t="str">
        <x:v>Business operations</x:v>
      </x:c>
      <x:c r="K12" s="55" t="str">
        <x:f>IF(A12="","",IF(OR(B12="",C12="",E12="",F12="",G12&lt;=0,G12&gt;1,COUNTIF($A$11:$A$60,A12)&gt;1),"ERROR","PASS"))</x:f>
        <x:v>PASS</x:v>
      </x:c>
      <x:c r="L12" s="4"/>
      <x:c r="M12" s="4"/>
      <x:c r="N12" s="4"/>
      <x:c r="O12" s="4"/>
      <x:c r="P12" s="4"/>
      <x:c r="Q12" s="4"/>
      <x:c r="R12" s="4"/>
      <x:c r="S12" s="4"/>
      <x:c r="T12" s="4"/>
      <x:c r="AA12" s="54" t="str">
        <x:v>Sales</x:v>
      </x:c>
      <x:c r="AB12" s="54" t="str">
        <x:v>Inactive</x:v>
      </x:c>
    </x:row>
    <x:row r="13">
      <x:c r="A13" s="26" t="str">
        <x:v>EMP-003</x:v>
      </x:c>
      <x:c r="B13" s="26" t="str">
        <x:v>Sofia Alvarez</x:v>
      </x:c>
      <x:c r="C13" s="26" t="str">
        <x:v>Sales</x:v>
      </x:c>
      <x:c r="D13" s="26" t="str">
        <x:v>Leila Mansour</x:v>
      </x:c>
      <x:c r="E13" s="28" t="d">
        <x:v>2023-01-09T00:00:00.000Z</x:v>
      </x:c>
      <x:c r="F13" s="26" t="str">
        <x:v>Active</x:v>
      </x:c>
      <x:c r="G13" s="58" t="n">
        <x:v>1</x:v>
      </x:c>
      <x:c r="H13" s="26" t="str">
        <x:v>sofia@cedar.example</x:v>
      </x:c>
      <x:c r="I13" s="26" t="str">
        <x:v>Madrid</x:v>
      </x:c>
      <x:c r="J13" s="26" t="str">
        <x:v>Account executive</x:v>
      </x:c>
      <x:c r="K13" s="55" t="str">
        <x:f>IF(A13="","",IF(OR(B13="",C13="",E13="",F13="",G13&lt;=0,G13&gt;1,COUNTIF($A$11:$A$60,A13)&gt;1),"ERROR","PASS"))</x:f>
        <x:v>PASS</x:v>
      </x:c>
      <x:c r="L13" s="4"/>
      <x:c r="M13" s="4"/>
      <x:c r="N13" s="4"/>
      <x:c r="O13" s="4"/>
      <x:c r="P13" s="4"/>
      <x:c r="Q13" s="4"/>
      <x:c r="R13" s="4"/>
      <x:c r="S13" s="4"/>
      <x:c r="T13" s="4"/>
      <x:c r="AA13" s="54" t="str">
        <x:v>Finance</x:v>
      </x:c>
      <x:c r="AB13" s="54" t="str">
        <x:v>On Leave</x:v>
      </x:c>
    </x:row>
    <x:row r="14">
      <x:c r="A14" s="26" t="str">
        <x:v>EMP-004</x:v>
      </x:c>
      <x:c r="B14" s="26" t="str">
        <x:v>Daniel Kim</x:v>
      </x:c>
      <x:c r="C14" s="26" t="str">
        <x:v>Sales</x:v>
      </x:c>
      <x:c r="D14" s="26" t="str">
        <x:v>Sofia Alvarez</x:v>
      </x:c>
      <x:c r="E14" s="28" t="d">
        <x:v>2024-04-22T00:00:00.000Z</x:v>
      </x:c>
      <x:c r="F14" s="26" t="str">
        <x:v>Active</x:v>
      </x:c>
      <x:c r="G14" s="58" t="n">
        <x:v>1</x:v>
      </x:c>
      <x:c r="H14" s="26" t="str">
        <x:v>daniel@cedar.example</x:v>
      </x:c>
      <x:c r="I14" s="26" t="str">
        <x:v>Remote</x:v>
      </x:c>
      <x:c r="J14" s="26" t="str">
        <x:v>Sales associate</x:v>
      </x:c>
      <x:c r="K14" s="55" t="str">
        <x:f>IF(A14="","",IF(OR(B14="",C14="",E14="",F14="",G14&lt;=0,G14&gt;1,COUNTIF($A$11:$A$60,A14)&gt;1),"ERROR","PASS"))</x:f>
        <x:v>PASS</x:v>
      </x:c>
      <x:c r="L14" s="4"/>
      <x:c r="M14" s="4"/>
      <x:c r="N14" s="4"/>
      <x:c r="O14" s="4"/>
      <x:c r="P14" s="4"/>
      <x:c r="Q14" s="4"/>
      <x:c r="R14" s="4"/>
      <x:c r="S14" s="4"/>
      <x:c r="T14" s="4"/>
      <x:c r="AA14" s="54" t="str">
        <x:v>Marketing</x:v>
      </x:c>
    </x:row>
    <x:row r="15">
      <x:c r="A15" s="26" t="str">
        <x:v>EMP-005</x:v>
      </x:c>
      <x:c r="B15" s="26" t="str">
        <x:v>Noor Rahman</x:v>
      </x:c>
      <x:c r="C15" s="26" t="str">
        <x:v>Finance</x:v>
      </x:c>
      <x:c r="D15" s="26" t="str">
        <x:v>Leila Mansour</x:v>
      </x:c>
      <x:c r="E15" s="28" t="d">
        <x:v>2020-11-16T00:00:00.000Z</x:v>
      </x:c>
      <x:c r="F15" s="26" t="str">
        <x:v>Active</x:v>
      </x:c>
      <x:c r="G15" s="58" t="n">
        <x:v>1</x:v>
      </x:c>
      <x:c r="H15" s="26" t="str">
        <x:v>noor@cedar.example</x:v>
      </x:c>
      <x:c r="I15" s="26" t="str">
        <x:v>Dubai</x:v>
      </x:c>
      <x:c r="J15" s="26" t="str">
        <x:v>Finance manager</x:v>
      </x:c>
      <x:c r="K15" s="55" t="str">
        <x:f>IF(A15="","",IF(OR(B15="",C15="",E15="",F15="",G15&lt;=0,G15&gt;1,COUNTIF($A$11:$A$60,A15)&gt;1),"ERROR","PASS"))</x:f>
        <x:v>PASS</x:v>
      </x:c>
      <x:c r="L15" s="4"/>
      <x:c r="M15" s="4"/>
      <x:c r="N15" s="4"/>
      <x:c r="O15" s="4"/>
      <x:c r="P15" s="4"/>
      <x:c r="Q15" s="4"/>
      <x:c r="R15" s="4"/>
      <x:c r="S15" s="4"/>
      <x:c r="T15" s="4"/>
      <x:c r="AA15" s="54" t="str">
        <x:v>Client Success</x:v>
      </x:c>
    </x:row>
    <x:row r="16">
      <x:c r="A16" s="26" t="str">
        <x:v>EMP-006</x:v>
      </x:c>
      <x:c r="B16" s="26" t="str">
        <x:v>Lucia Torres</x:v>
      </x:c>
      <x:c r="C16" s="26" t="str">
        <x:v>Marketing</x:v>
      </x:c>
      <x:c r="D16" s="26" t="str">
        <x:v>Leila Mansour</x:v>
      </x:c>
      <x:c r="E16" s="28" t="d">
        <x:v>2022-06-06T00:00:00.000Z</x:v>
      </x:c>
      <x:c r="F16" s="26" t="str">
        <x:v>Active</x:v>
      </x:c>
      <x:c r="G16" s="58" t="n">
        <x:v>0.8</x:v>
      </x:c>
      <x:c r="H16" s="26" t="str">
        <x:v>lucia@cedar.example</x:v>
      </x:c>
      <x:c r="I16" s="26" t="str">
        <x:v>Barcelona</x:v>
      </x:c>
      <x:c r="J16" s="26" t="str">
        <x:v>Marketing specialist</x:v>
      </x:c>
      <x:c r="K16" s="55" t="str">
        <x:f>IF(A16="","",IF(OR(B16="",C16="",E16="",F16="",G16&lt;=0,G16&gt;1,COUNTIF($A$11:$A$60,A16)&gt;1),"ERROR","PASS"))</x:f>
        <x:v>PASS</x:v>
      </x:c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26" t="str">
        <x:v>EMP-007</x:v>
      </x:c>
      <x:c r="B17" s="26" t="str">
        <x:v>Yusuf Karim</x:v>
      </x:c>
      <x:c r="C17" s="26" t="str">
        <x:v>Client Success</x:v>
      </x:c>
      <x:c r="D17" s="26" t="str">
        <x:v>Leila Mansour</x:v>
      </x:c>
      <x:c r="E17" s="28" t="d">
        <x:v>2023-09-18T00:00:00.000Z</x:v>
      </x:c>
      <x:c r="F17" s="26" t="str">
        <x:v>Active</x:v>
      </x:c>
      <x:c r="G17" s="58" t="n">
        <x:v>1</x:v>
      </x:c>
      <x:c r="H17" s="26" t="str">
        <x:v>yusuf@cedar.example</x:v>
      </x:c>
      <x:c r="I17" s="26" t="str">
        <x:v>Dubai</x:v>
      </x:c>
      <x:c r="J17" s="26" t="str">
        <x:v>Client success lead</x:v>
      </x:c>
      <x:c r="K17" s="55" t="str">
        <x:f>IF(A17="","",IF(OR(B17="",C17="",E17="",F17="",G17&lt;=0,G17&gt;1,COUNTIF($A$11:$A$60,A17)&gt;1),"ERROR","PASS"))</x:f>
        <x:v>PASS</x:v>
      </x:c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26" t="str">
        <x:v>EMP-008</x:v>
      </x:c>
      <x:c r="B18" s="26" t="str">
        <x:v>Amelia Stone</x:v>
      </x:c>
      <x:c r="C18" s="26" t="str">
        <x:v>Client Success</x:v>
      </x:c>
      <x:c r="D18" s="26" t="str">
        <x:v>Yusuf Karim</x:v>
      </x:c>
      <x:c r="E18" s="28" t="d">
        <x:v>2025-02-03T00:00:00.000Z</x:v>
      </x:c>
      <x:c r="F18" s="26" t="str">
        <x:v>Active</x:v>
      </x:c>
      <x:c r="G18" s="58" t="n">
        <x:v>1</x:v>
      </x:c>
      <x:c r="H18" s="26" t="str">
        <x:v>amelia@cedar.example</x:v>
      </x:c>
      <x:c r="I18" s="26" t="str">
        <x:v>London</x:v>
      </x:c>
      <x:c r="J18" s="26" t="str">
        <x:v>Client success associate</x:v>
      </x:c>
      <x:c r="K18" s="55" t="str">
        <x:f>IF(A18="","",IF(OR(B18="",C18="",E18="",F18="",G18&lt;=0,G18&gt;1,COUNTIF($A$11:$A$60,A18)&gt;1),"ERROR","PASS"))</x:f>
        <x:v>PASS</x:v>
      </x:c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26"/>
      <x:c r="B19" s="26"/>
      <x:c r="C19" s="26"/>
      <x:c r="D19" s="26"/>
      <x:c r="E19" s="28"/>
      <x:c r="F19" s="26"/>
      <x:c r="G19" s="58"/>
      <x:c r="H19" s="26"/>
      <x:c r="I19" s="26"/>
      <x:c r="J19" s="26"/>
      <x:c r="K19" s="55" t="str">
        <x:f>IF(A19="","",IF(OR(B19="",C19="",E19="",F19="",G19&lt;=0,G19&gt;1,COUNTIF($A$11:$A$60,A19)&gt;1),"ERROR","PASS"))</x:f>
      </x:c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26"/>
      <x:c r="B20" s="26"/>
      <x:c r="C20" s="26"/>
      <x:c r="D20" s="26"/>
      <x:c r="E20" s="28"/>
      <x:c r="F20" s="26"/>
      <x:c r="G20" s="58"/>
      <x:c r="H20" s="26"/>
      <x:c r="I20" s="26"/>
      <x:c r="J20" s="26"/>
      <x:c r="K20" s="55" t="str">
        <x:f>IF(A20="","",IF(OR(B20="",C20="",E20="",F20="",G20&lt;=0,G20&gt;1,COUNTIF($A$11:$A$60,A20)&gt;1),"ERROR","PASS"))</x:f>
      </x:c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26"/>
      <x:c r="B21" s="26"/>
      <x:c r="C21" s="26"/>
      <x:c r="D21" s="26"/>
      <x:c r="E21" s="28"/>
      <x:c r="F21" s="26"/>
      <x:c r="G21" s="58"/>
      <x:c r="H21" s="26"/>
      <x:c r="I21" s="26"/>
      <x:c r="J21" s="26"/>
      <x:c r="K21" s="55" t="str">
        <x:f>IF(A21="","",IF(OR(B21="",C21="",E21="",F21="",G21&lt;=0,G21&gt;1,COUNTIF($A$11:$A$60,A21)&gt;1),"ERROR","PASS"))</x:f>
      </x:c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26"/>
      <x:c r="B22" s="26"/>
      <x:c r="C22" s="26"/>
      <x:c r="D22" s="26"/>
      <x:c r="E22" s="28"/>
      <x:c r="F22" s="26"/>
      <x:c r="G22" s="58"/>
      <x:c r="H22" s="26"/>
      <x:c r="I22" s="26"/>
      <x:c r="J22" s="26"/>
      <x:c r="K22" s="55" t="str">
        <x:f>IF(A22="","",IF(OR(B22="",C22="",E22="",F22="",G22&lt;=0,G22&gt;1,COUNTIF($A$11:$A$60,A22)&gt;1),"ERROR","PASS"))</x:f>
      </x:c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26"/>
      <x:c r="B23" s="26"/>
      <x:c r="C23" s="26"/>
      <x:c r="D23" s="26"/>
      <x:c r="E23" s="28"/>
      <x:c r="F23" s="26"/>
      <x:c r="G23" s="58"/>
      <x:c r="H23" s="26"/>
      <x:c r="I23" s="26"/>
      <x:c r="J23" s="26"/>
      <x:c r="K23" s="55" t="str">
        <x:f>IF(A23="","",IF(OR(B23="",C23="",E23="",F23="",G23&lt;=0,G23&gt;1,COUNTIF($A$11:$A$60,A23)&gt;1),"ERROR","PASS"))</x:f>
      </x:c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26"/>
      <x:c r="B24" s="26"/>
      <x:c r="C24" s="26"/>
      <x:c r="D24" s="26"/>
      <x:c r="E24" s="28"/>
      <x:c r="F24" s="26"/>
      <x:c r="G24" s="58"/>
      <x:c r="H24" s="26"/>
      <x:c r="I24" s="26"/>
      <x:c r="J24" s="26"/>
      <x:c r="K24" s="55" t="str">
        <x:f>IF(A24="","",IF(OR(B24="",C24="",E24="",F24="",G24&lt;=0,G24&gt;1,COUNTIF($A$11:$A$60,A24)&gt;1),"ERROR","PASS"))</x:f>
      </x:c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26"/>
      <x:c r="B25" s="26"/>
      <x:c r="C25" s="26"/>
      <x:c r="D25" s="26"/>
      <x:c r="E25" s="28"/>
      <x:c r="F25" s="26"/>
      <x:c r="G25" s="58"/>
      <x:c r="H25" s="26"/>
      <x:c r="I25" s="26"/>
      <x:c r="J25" s="26"/>
      <x:c r="K25" s="55" t="str">
        <x:f>IF(A25="","",IF(OR(B25="",C25="",E25="",F25="",G25&lt;=0,G25&gt;1,COUNTIF($A$11:$A$60,A25)&gt;1),"ERROR","PASS"))</x:f>
      </x:c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26"/>
      <x:c r="B26" s="26"/>
      <x:c r="C26" s="26"/>
      <x:c r="D26" s="26"/>
      <x:c r="E26" s="28"/>
      <x:c r="F26" s="26"/>
      <x:c r="G26" s="58"/>
      <x:c r="H26" s="26"/>
      <x:c r="I26" s="26"/>
      <x:c r="J26" s="26"/>
      <x:c r="K26" s="55" t="str">
        <x:f>IF(A26="","",IF(OR(B26="",C26="",E26="",F26="",G26&lt;=0,G26&gt;1,COUNTIF($A$11:$A$60,A26)&gt;1),"ERROR","PASS"))</x:f>
      </x:c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26"/>
      <x:c r="B27" s="26"/>
      <x:c r="C27" s="26"/>
      <x:c r="D27" s="26"/>
      <x:c r="E27" s="28"/>
      <x:c r="F27" s="26"/>
      <x:c r="G27" s="58"/>
      <x:c r="H27" s="26"/>
      <x:c r="I27" s="26"/>
      <x:c r="J27" s="26"/>
      <x:c r="K27" s="55" t="str">
        <x:f>IF(A27="","",IF(OR(B27="",C27="",E27="",F27="",G27&lt;=0,G27&gt;1,COUNTIF($A$11:$A$60,A27)&gt;1),"ERROR","PASS"))</x:f>
      </x:c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26"/>
      <x:c r="B28" s="26"/>
      <x:c r="C28" s="26"/>
      <x:c r="D28" s="26"/>
      <x:c r="E28" s="28"/>
      <x:c r="F28" s="26"/>
      <x:c r="G28" s="58"/>
      <x:c r="H28" s="26"/>
      <x:c r="I28" s="26"/>
      <x:c r="J28" s="26"/>
      <x:c r="K28" s="55" t="str">
        <x:f>IF(A28="","",IF(OR(B28="",C28="",E28="",F28="",G28&lt;=0,G28&gt;1,COUNTIF($A$11:$A$60,A28)&gt;1),"ERROR","PASS"))</x:f>
      </x:c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26"/>
      <x:c r="B29" s="26"/>
      <x:c r="C29" s="26"/>
      <x:c r="D29" s="26"/>
      <x:c r="E29" s="28"/>
      <x:c r="F29" s="26"/>
      <x:c r="G29" s="58"/>
      <x:c r="H29" s="26"/>
      <x:c r="I29" s="26"/>
      <x:c r="J29" s="26"/>
      <x:c r="K29" s="55" t="str">
        <x:f>IF(A29="","",IF(OR(B29="",C29="",E29="",F29="",G29&lt;=0,G29&gt;1,COUNTIF($A$11:$A$60,A29)&gt;1),"ERROR","PASS"))</x:f>
      </x:c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26"/>
      <x:c r="B30" s="26"/>
      <x:c r="C30" s="26"/>
      <x:c r="D30" s="26"/>
      <x:c r="E30" s="28"/>
      <x:c r="F30" s="26"/>
      <x:c r="G30" s="58"/>
      <x:c r="H30" s="26"/>
      <x:c r="I30" s="26"/>
      <x:c r="J30" s="26"/>
      <x:c r="K30" s="55" t="str">
        <x:f>IF(A30="","",IF(OR(B30="",C30="",E30="",F30="",G30&lt;=0,G30&gt;1,COUNTIF($A$11:$A$60,A30)&gt;1),"ERROR","PASS"))</x:f>
      </x:c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26"/>
      <x:c r="B31" s="26"/>
      <x:c r="C31" s="26"/>
      <x:c r="D31" s="26"/>
      <x:c r="E31" s="28"/>
      <x:c r="F31" s="26"/>
      <x:c r="G31" s="58"/>
      <x:c r="H31" s="26"/>
      <x:c r="I31" s="26"/>
      <x:c r="J31" s="26"/>
      <x:c r="K31" s="55" t="str">
        <x:f>IF(A31="","",IF(OR(B31="",C31="",E31="",F31="",G31&lt;=0,G31&gt;1,COUNTIF($A$11:$A$60,A31)&gt;1),"ERROR","PASS"))</x:f>
      </x:c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26"/>
      <x:c r="B32" s="26"/>
      <x:c r="C32" s="26"/>
      <x:c r="D32" s="26"/>
      <x:c r="E32" s="28"/>
      <x:c r="F32" s="26"/>
      <x:c r="G32" s="58"/>
      <x:c r="H32" s="26"/>
      <x:c r="I32" s="26"/>
      <x:c r="J32" s="26"/>
      <x:c r="K32" s="55" t="str">
        <x:f>IF(A32="","",IF(OR(B32="",C32="",E32="",F32="",G32&lt;=0,G32&gt;1,COUNTIF($A$11:$A$60,A32)&gt;1),"ERROR","PASS"))</x:f>
      </x:c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26"/>
      <x:c r="B33" s="26"/>
      <x:c r="C33" s="26"/>
      <x:c r="D33" s="26"/>
      <x:c r="E33" s="28"/>
      <x:c r="F33" s="26"/>
      <x:c r="G33" s="58"/>
      <x:c r="H33" s="26"/>
      <x:c r="I33" s="26"/>
      <x:c r="J33" s="26"/>
      <x:c r="K33" s="55" t="str">
        <x:f>IF(A33="","",IF(OR(B33="",C33="",E33="",F33="",G33&lt;=0,G33&gt;1,COUNTIF($A$11:$A$60,A33)&gt;1),"ERROR","PASS"))</x:f>
      </x:c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26"/>
      <x:c r="B34" s="26"/>
      <x:c r="C34" s="26"/>
      <x:c r="D34" s="26"/>
      <x:c r="E34" s="28"/>
      <x:c r="F34" s="26"/>
      <x:c r="G34" s="58"/>
      <x:c r="H34" s="26"/>
      <x:c r="I34" s="26"/>
      <x:c r="J34" s="26"/>
      <x:c r="K34" s="55" t="str">
        <x:f>IF(A34="","",IF(OR(B34="",C34="",E34="",F34="",G34&lt;=0,G34&gt;1,COUNTIF($A$11:$A$60,A34)&gt;1),"ERROR","PASS"))</x:f>
      </x:c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26"/>
      <x:c r="B35" s="26"/>
      <x:c r="C35" s="26"/>
      <x:c r="D35" s="26"/>
      <x:c r="E35" s="28"/>
      <x:c r="F35" s="26"/>
      <x:c r="G35" s="58"/>
      <x:c r="H35" s="26"/>
      <x:c r="I35" s="26"/>
      <x:c r="J35" s="26"/>
      <x:c r="K35" s="55" t="str">
        <x:f>IF(A35="","",IF(OR(B35="",C35="",E35="",F35="",G35&lt;=0,G35&gt;1,COUNTIF($A$11:$A$60,A35)&gt;1),"ERROR","PASS"))</x:f>
      </x:c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26"/>
      <x:c r="B36" s="26"/>
      <x:c r="C36" s="26"/>
      <x:c r="D36" s="26"/>
      <x:c r="E36" s="28"/>
      <x:c r="F36" s="26"/>
      <x:c r="G36" s="58"/>
      <x:c r="H36" s="26"/>
      <x:c r="I36" s="26"/>
      <x:c r="J36" s="26"/>
      <x:c r="K36" s="55" t="str">
        <x:f>IF(A36="","",IF(OR(B36="",C36="",E36="",F36="",G36&lt;=0,G36&gt;1,COUNTIF($A$11:$A$60,A36)&gt;1),"ERROR","PASS"))</x:f>
      </x:c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26"/>
      <x:c r="B37" s="26"/>
      <x:c r="C37" s="26"/>
      <x:c r="D37" s="26"/>
      <x:c r="E37" s="28"/>
      <x:c r="F37" s="26"/>
      <x:c r="G37" s="58"/>
      <x:c r="H37" s="26"/>
      <x:c r="I37" s="26"/>
      <x:c r="J37" s="26"/>
      <x:c r="K37" s="55" t="str">
        <x:f>IF(A37="","",IF(OR(B37="",C37="",E37="",F37="",G37&lt;=0,G37&gt;1,COUNTIF($A$11:$A$60,A37)&gt;1),"ERROR","PASS"))</x:f>
      </x:c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26"/>
      <x:c r="B38" s="26"/>
      <x:c r="C38" s="26"/>
      <x:c r="D38" s="26"/>
      <x:c r="E38" s="28"/>
      <x:c r="F38" s="26"/>
      <x:c r="G38" s="58"/>
      <x:c r="H38" s="26"/>
      <x:c r="I38" s="26"/>
      <x:c r="J38" s="26"/>
      <x:c r="K38" s="55" t="str">
        <x:f>IF(A38="","",IF(OR(B38="",C38="",E38="",F38="",G38&lt;=0,G38&gt;1,COUNTIF($A$11:$A$60,A38)&gt;1),"ERROR","PASS"))</x:f>
      </x:c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26"/>
      <x:c r="B39" s="26"/>
      <x:c r="C39" s="26"/>
      <x:c r="D39" s="26"/>
      <x:c r="E39" s="28"/>
      <x:c r="F39" s="26"/>
      <x:c r="G39" s="58"/>
      <x:c r="H39" s="26"/>
      <x:c r="I39" s="26"/>
      <x:c r="J39" s="26"/>
      <x:c r="K39" s="55" t="str">
        <x:f>IF(A39="","",IF(OR(B39="",C39="",E39="",F39="",G39&lt;=0,G39&gt;1,COUNTIF($A$11:$A$60,A39)&gt;1),"ERROR","PASS"))</x:f>
      </x:c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26"/>
      <x:c r="B40" s="26"/>
      <x:c r="C40" s="26"/>
      <x:c r="D40" s="26"/>
      <x:c r="E40" s="28"/>
      <x:c r="F40" s="26"/>
      <x:c r="G40" s="58"/>
      <x:c r="H40" s="26"/>
      <x:c r="I40" s="26"/>
      <x:c r="J40" s="26"/>
      <x:c r="K40" s="55" t="str">
        <x:f>IF(A40="","",IF(OR(B40="",C40="",E40="",F40="",G40&lt;=0,G40&gt;1,COUNTIF($A$11:$A$60,A40)&gt;1),"ERROR","PASS"))</x:f>
      </x:c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26"/>
      <x:c r="B41" s="26"/>
      <x:c r="C41" s="26"/>
      <x:c r="D41" s="26"/>
      <x:c r="E41" s="28"/>
      <x:c r="F41" s="26"/>
      <x:c r="G41" s="58"/>
      <x:c r="H41" s="26"/>
      <x:c r="I41" s="26"/>
      <x:c r="J41" s="26"/>
      <x:c r="K41" s="55" t="str">
        <x:f>IF(A41="","",IF(OR(B41="",C41="",E41="",F41="",G41&lt;=0,G41&gt;1,COUNTIF($A$11:$A$60,A41)&gt;1),"ERROR","PASS"))</x:f>
      </x:c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26"/>
      <x:c r="B42" s="26"/>
      <x:c r="C42" s="26"/>
      <x:c r="D42" s="26"/>
      <x:c r="E42" s="28"/>
      <x:c r="F42" s="26"/>
      <x:c r="G42" s="58"/>
      <x:c r="H42" s="26"/>
      <x:c r="I42" s="26"/>
      <x:c r="J42" s="26"/>
      <x:c r="K42" s="55" t="str">
        <x:f>IF(A42="","",IF(OR(B42="",C42="",E42="",F42="",G42&lt;=0,G42&gt;1,COUNTIF($A$11:$A$60,A42)&gt;1),"ERROR","PASS"))</x:f>
      </x:c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26"/>
      <x:c r="B43" s="26"/>
      <x:c r="C43" s="26"/>
      <x:c r="D43" s="26"/>
      <x:c r="E43" s="28"/>
      <x:c r="F43" s="26"/>
      <x:c r="G43" s="58"/>
      <x:c r="H43" s="26"/>
      <x:c r="I43" s="26"/>
      <x:c r="J43" s="26"/>
      <x:c r="K43" s="55" t="str">
        <x:f>IF(A43="","",IF(OR(B43="",C43="",E43="",F43="",G43&lt;=0,G43&gt;1,COUNTIF($A$11:$A$60,A43)&gt;1),"ERROR","PASS"))</x:f>
      </x:c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26"/>
      <x:c r="B44" s="26"/>
      <x:c r="C44" s="26"/>
      <x:c r="D44" s="26"/>
      <x:c r="E44" s="28"/>
      <x:c r="F44" s="26"/>
      <x:c r="G44" s="58"/>
      <x:c r="H44" s="26"/>
      <x:c r="I44" s="26"/>
      <x:c r="J44" s="26"/>
      <x:c r="K44" s="55" t="str">
        <x:f>IF(A44="","",IF(OR(B44="",C44="",E44="",F44="",G44&lt;=0,G44&gt;1,COUNTIF($A$11:$A$60,A44)&gt;1),"ERROR","PASS"))</x:f>
      </x:c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26"/>
      <x:c r="B45" s="26"/>
      <x:c r="C45" s="26"/>
      <x:c r="D45" s="26"/>
      <x:c r="E45" s="28"/>
      <x:c r="F45" s="26"/>
      <x:c r="G45" s="58"/>
      <x:c r="H45" s="26"/>
      <x:c r="I45" s="26"/>
      <x:c r="J45" s="26"/>
      <x:c r="K45" s="55" t="str">
        <x:f>IF(A45="","",IF(OR(B45="",C45="",E45="",F45="",G45&lt;=0,G45&gt;1,COUNTIF($A$11:$A$60,A45)&gt;1),"ERROR","PASS"))</x:f>
      </x:c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26"/>
      <x:c r="B46" s="26"/>
      <x:c r="C46" s="26"/>
      <x:c r="D46" s="26"/>
      <x:c r="E46" s="28"/>
      <x:c r="F46" s="26"/>
      <x:c r="G46" s="58"/>
      <x:c r="H46" s="26"/>
      <x:c r="I46" s="26"/>
      <x:c r="J46" s="26"/>
      <x:c r="K46" s="55" t="str">
        <x:f>IF(A46="","",IF(OR(B46="",C46="",E46="",F46="",G46&lt;=0,G46&gt;1,COUNTIF($A$11:$A$60,A46)&gt;1),"ERROR","PASS"))</x:f>
      </x:c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26"/>
      <x:c r="B47" s="26"/>
      <x:c r="C47" s="26"/>
      <x:c r="D47" s="26"/>
      <x:c r="E47" s="28"/>
      <x:c r="F47" s="26"/>
      <x:c r="G47" s="58"/>
      <x:c r="H47" s="26"/>
      <x:c r="I47" s="26"/>
      <x:c r="J47" s="26"/>
      <x:c r="K47" s="55" t="str">
        <x:f>IF(A47="","",IF(OR(B47="",C47="",E47="",F47="",G47&lt;=0,G47&gt;1,COUNTIF($A$11:$A$60,A47)&gt;1),"ERROR","PASS"))</x:f>
      </x:c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26"/>
      <x:c r="B48" s="26"/>
      <x:c r="C48" s="26"/>
      <x:c r="D48" s="26"/>
      <x:c r="E48" s="28"/>
      <x:c r="F48" s="26"/>
      <x:c r="G48" s="58"/>
      <x:c r="H48" s="26"/>
      <x:c r="I48" s="26"/>
      <x:c r="J48" s="26"/>
      <x:c r="K48" s="55" t="str">
        <x:f>IF(A48="","",IF(OR(B48="",C48="",E48="",F48="",G48&lt;=0,G48&gt;1,COUNTIF($A$11:$A$60,A48)&gt;1),"ERROR","PASS"))</x:f>
      </x:c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26"/>
      <x:c r="B49" s="26"/>
      <x:c r="C49" s="26"/>
      <x:c r="D49" s="26"/>
      <x:c r="E49" s="28"/>
      <x:c r="F49" s="26"/>
      <x:c r="G49" s="58"/>
      <x:c r="H49" s="26"/>
      <x:c r="I49" s="26"/>
      <x:c r="J49" s="26"/>
      <x:c r="K49" s="55" t="str">
        <x:f>IF(A49="","",IF(OR(B49="",C49="",E49="",F49="",G49&lt;=0,G49&gt;1,COUNTIF($A$11:$A$60,A49)&gt;1),"ERROR","PASS"))</x:f>
      </x:c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26"/>
      <x:c r="B50" s="26"/>
      <x:c r="C50" s="26"/>
      <x:c r="D50" s="26"/>
      <x:c r="E50" s="28"/>
      <x:c r="F50" s="26"/>
      <x:c r="G50" s="58"/>
      <x:c r="H50" s="26"/>
      <x:c r="I50" s="26"/>
      <x:c r="J50" s="26"/>
      <x:c r="K50" s="55" t="str">
        <x:f>IF(A50="","",IF(OR(B50="",C50="",E50="",F50="",G50&lt;=0,G50&gt;1,COUNTIF($A$11:$A$60,A50)&gt;1),"ERROR","PASS"))</x:f>
      </x:c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26"/>
      <x:c r="B51" s="26"/>
      <x:c r="C51" s="26"/>
      <x:c r="D51" s="26"/>
      <x:c r="E51" s="28"/>
      <x:c r="F51" s="26"/>
      <x:c r="G51" s="58"/>
      <x:c r="H51" s="26"/>
      <x:c r="I51" s="26"/>
      <x:c r="J51" s="26"/>
      <x:c r="K51" s="55" t="str">
        <x:f>IF(A51="","",IF(OR(B51="",C51="",E51="",F51="",G51&lt;=0,G51&gt;1,COUNTIF($A$11:$A$60,A51)&gt;1),"ERROR","PASS"))</x:f>
      </x:c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26"/>
      <x:c r="B52" s="26"/>
      <x:c r="C52" s="26"/>
      <x:c r="D52" s="26"/>
      <x:c r="E52" s="28"/>
      <x:c r="F52" s="26"/>
      <x:c r="G52" s="58"/>
      <x:c r="H52" s="26"/>
      <x:c r="I52" s="26"/>
      <x:c r="J52" s="26"/>
      <x:c r="K52" s="55" t="str">
        <x:f>IF(A52="","",IF(OR(B52="",C52="",E52="",F52="",G52&lt;=0,G52&gt;1,COUNTIF($A$11:$A$60,A52)&gt;1),"ERROR","PASS"))</x:f>
      </x:c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26"/>
      <x:c r="B53" s="26"/>
      <x:c r="C53" s="26"/>
      <x:c r="D53" s="26"/>
      <x:c r="E53" s="28"/>
      <x:c r="F53" s="26"/>
      <x:c r="G53" s="58"/>
      <x:c r="H53" s="26"/>
      <x:c r="I53" s="26"/>
      <x:c r="J53" s="26"/>
      <x:c r="K53" s="55" t="str">
        <x:f>IF(A53="","",IF(OR(B53="",C53="",E53="",F53="",G53&lt;=0,G53&gt;1,COUNTIF($A$11:$A$60,A53)&gt;1),"ERROR","PASS"))</x:f>
      </x:c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26"/>
      <x:c r="B54" s="26"/>
      <x:c r="C54" s="26"/>
      <x:c r="D54" s="26"/>
      <x:c r="E54" s="28"/>
      <x:c r="F54" s="26"/>
      <x:c r="G54" s="58"/>
      <x:c r="H54" s="26"/>
      <x:c r="I54" s="26"/>
      <x:c r="J54" s="26"/>
      <x:c r="K54" s="55" t="str">
        <x:f>IF(A54="","",IF(OR(B54="",C54="",E54="",F54="",G54&lt;=0,G54&gt;1,COUNTIF($A$11:$A$60,A54)&gt;1),"ERROR","PASS"))</x:f>
      </x:c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26"/>
      <x:c r="B55" s="26"/>
      <x:c r="C55" s="26"/>
      <x:c r="D55" s="26"/>
      <x:c r="E55" s="28"/>
      <x:c r="F55" s="26"/>
      <x:c r="G55" s="58"/>
      <x:c r="H55" s="26"/>
      <x:c r="I55" s="26"/>
      <x:c r="J55" s="26"/>
      <x:c r="K55" s="55" t="str">
        <x:f>IF(A55="","",IF(OR(B55="",C55="",E55="",F55="",G55&lt;=0,G55&gt;1,COUNTIF($A$11:$A$60,A55)&gt;1),"ERROR","PASS"))</x:f>
      </x:c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26"/>
      <x:c r="B56" s="26"/>
      <x:c r="C56" s="26"/>
      <x:c r="D56" s="26"/>
      <x:c r="E56" s="28"/>
      <x:c r="F56" s="26"/>
      <x:c r="G56" s="58"/>
      <x:c r="H56" s="26"/>
      <x:c r="I56" s="26"/>
      <x:c r="J56" s="26"/>
      <x:c r="K56" s="55" t="str">
        <x:f>IF(A56="","",IF(OR(B56="",C56="",E56="",F56="",G56&lt;=0,G56&gt;1,COUNTIF($A$11:$A$60,A56)&gt;1),"ERROR","PASS"))</x:f>
      </x:c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26"/>
      <x:c r="B57" s="26"/>
      <x:c r="C57" s="26"/>
      <x:c r="D57" s="26"/>
      <x:c r="E57" s="28"/>
      <x:c r="F57" s="26"/>
      <x:c r="G57" s="58"/>
      <x:c r="H57" s="26"/>
      <x:c r="I57" s="26"/>
      <x:c r="J57" s="26"/>
      <x:c r="K57" s="55" t="str">
        <x:f>IF(A57="","",IF(OR(B57="",C57="",E57="",F57="",G57&lt;=0,G57&gt;1,COUNTIF($A$11:$A$60,A57)&gt;1),"ERROR","PASS"))</x:f>
      </x:c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26"/>
      <x:c r="B58" s="26"/>
      <x:c r="C58" s="26"/>
      <x:c r="D58" s="26"/>
      <x:c r="E58" s="28"/>
      <x:c r="F58" s="26"/>
      <x:c r="G58" s="58"/>
      <x:c r="H58" s="26"/>
      <x:c r="I58" s="26"/>
      <x:c r="J58" s="26"/>
      <x:c r="K58" s="55" t="str">
        <x:f>IF(A58="","",IF(OR(B58="",C58="",E58="",F58="",G58&lt;=0,G58&gt;1,COUNTIF($A$11:$A$60,A58)&gt;1),"ERROR","PASS"))</x:f>
      </x:c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26"/>
      <x:c r="B59" s="26"/>
      <x:c r="C59" s="26"/>
      <x:c r="D59" s="26"/>
      <x:c r="E59" s="28"/>
      <x:c r="F59" s="26"/>
      <x:c r="G59" s="58"/>
      <x:c r="H59" s="26"/>
      <x:c r="I59" s="26"/>
      <x:c r="J59" s="26"/>
      <x:c r="K59" s="55" t="str">
        <x:f>IF(A59="","",IF(OR(B59="",C59="",E59="",F59="",G59&lt;=0,G59&gt;1,COUNTIF($A$11:$A$60,A59)&gt;1),"ERROR","PASS"))</x:f>
      </x:c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27"/>
      <x:c r="B60" s="27"/>
      <x:c r="C60" s="27"/>
      <x:c r="D60" s="27"/>
      <x:c r="E60" s="57"/>
      <x:c r="F60" s="27"/>
      <x:c r="G60" s="59"/>
      <x:c r="H60" s="27"/>
      <x:c r="I60" s="27"/>
      <x:c r="J60" s="27"/>
      <x:c r="K60" s="56" t="str">
        <x:f>IF(A60="","",IF(OR(B60="",C60="",E60="",F60="",G60&lt;=0,G60&gt;1,COUNTIF($A$11:$A$60,A60)&gt;1),"ERROR","PASS"))</x:f>
      </x:c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</x:mergeCells>
  <x:conditionalFormatting sqref="K11:K60">
    <x:cfRule type="cellIs" dxfId="0" priority="1" operator="equal">
      <x:formula>"ERROR"</x:formula>
    </x:cfRule>
  </x:conditionalFormatting>
  <x:dataValidations count="3">
    <x:dataValidation type="list" sqref="C11:C60">
      <x:formula1>$AA$11:$AA$15</x:formula1>
    </x:dataValidation>
    <x:dataValidation type="list" sqref="F11:F60">
      <x:formula1>$AB$11:$AB$13</x:formula1>
    </x:dataValidation>
    <x:dataValidation type="decimal" operator="between" sqref="G11:G60">
      <x:formula1>0.1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1ee84df97ed472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2" hidden="0" customWidth="1"/>
    <x:col min="3" max="3" width="21" hidden="0" customWidth="1"/>
    <x:col min="4" max="4" width="18" hidden="0" customWidth="1"/>
    <x:col min="5" max="5" width="20" hidden="0" customWidth="1"/>
    <x:col min="6" max="6" width="13" hidden="0" customWidth="1"/>
    <x:col min="7" max="7" width="13" hidden="0" customWidth="1"/>
    <x:col min="8" max="8" width="11" hidden="0" customWidth="1"/>
    <x:col min="9" max="9" width="13" hidden="0" customWidth="1"/>
    <x:col min="10" max="10" width="13" hidden="0" customWidth="1"/>
    <x:col min="11" max="11" width="19" hidden="0" customWidth="1"/>
    <x:col min="12" max="12" width="13" hidden="0" customWidth="1"/>
    <x:col min="13" max="13" width="34" hidden="0" customWidth="1"/>
    <x:col min="14" max="14" width="15" hidden="0" customWidth="1"/>
    <x:col min="15" max="15" width="15" hidden="0" customWidth="1"/>
    <x:col min="16" max="16" width="13" hidden="0" customWidth="1"/>
    <x:col min="17" max="17" width="2" hidden="1" customWidth="1"/>
    <x:col min="27" max="27" width="2" hidden="1" customWidth="1"/>
    <x:col min="28" max="28" width="2" hidden="1" customWidth="1"/>
    <x:col min="29" max="29" width="2" hidden="1" customWidth="1"/>
    <x:col min="30" max="30" width="2" hidden="1" customWidth="1"/>
  </x:cols>
  <x:sheetData>
    <x:row r="1" ht="20" customHeight="1">
      <x:c r="A1" s="12" t="str">
        <x:v>Home</x:v>
      </x:c>
      <x:c r="B1" s="13" t="str">
        <x:v>Home</x:v>
      </x:c>
      <x:c r="C1" s="12" t="str">
        <x:v>Setup</x:v>
      </x:c>
      <x:c r="D1" s="13" t="str">
        <x:v>Setup</x:v>
      </x:c>
      <x:c r="E1" s="12" t="str">
        <x:v>Employees</x:v>
      </x:c>
      <x:c r="F1" s="13" t="str">
        <x:v>Employees</x:v>
      </x:c>
      <x:c r="G1" s="9" t="str">
        <x:v>Requests</x:v>
      </x:c>
      <x:c r="H1" s="10" t="str">
        <x:v>Requests</x:v>
      </x:c>
      <x:c r="I1" s="12" t="str">
        <x:v>Balances</x:v>
      </x:c>
      <x:c r="J1" s="13" t="str">
        <x:v>Balances</x:v>
      </x:c>
      <x:c r="K1" s="12" t="str">
        <x:v>Calendar</x:v>
      </x:c>
      <x:c r="L1" s="13" t="str">
        <x:v>Calendar</x:v>
      </x:c>
      <x:c r="M1" s="12" t="str">
        <x:v>Coverage</x:v>
      </x:c>
      <x:c r="N1" s="13" t="str">
        <x:v>Coverage</x:v>
      </x:c>
      <x:c r="O1" s="12" t="str">
        <x:v>Dashboard</x:v>
      </x:c>
      <x:c r="P1" s="13" t="str">
        <x:v>Dashboard</x:v>
      </x:c>
      <x:c r="Q1" s="12" t="str">
        <x:v>Audit</x:v>
      </x:c>
      <x:c r="R1" s="13" t="str">
        <x:v>Audit</x:v>
      </x:c>
      <x:c r="S1" s="6"/>
      <x:c r="T1" s="6"/>
    </x:row>
    <x:row r="2" ht="20" customHeight="1">
      <x:c r="A2" s="12" t="str">
        <x:v>Home</x:v>
      </x:c>
      <x:c r="B2" s="13" t="str">
        <x:v>Home</x:v>
      </x:c>
      <x:c r="C2" s="12" t="str">
        <x:v>Setup</x:v>
      </x:c>
      <x:c r="D2" s="13" t="str">
        <x:v>Setup</x:v>
      </x:c>
      <x:c r="E2" s="12" t="str">
        <x:v>Employees</x:v>
      </x:c>
      <x:c r="F2" s="13" t="str">
        <x:v>Employees</x:v>
      </x:c>
      <x:c r="G2" s="9" t="str">
        <x:v>Requests</x:v>
      </x:c>
      <x:c r="H2" s="10" t="str">
        <x:v>Requests</x:v>
      </x:c>
      <x:c r="I2" s="12" t="str">
        <x:v>Balances</x:v>
      </x:c>
      <x:c r="J2" s="13" t="str">
        <x:v>Balances</x:v>
      </x:c>
      <x:c r="K2" s="12" t="str">
        <x:v>Calendar</x:v>
      </x:c>
      <x:c r="L2" s="13" t="str">
        <x:v>Calendar</x:v>
      </x:c>
      <x:c r="M2" s="12" t="str">
        <x:v>Coverage</x:v>
      </x:c>
      <x:c r="N2" s="13" t="str">
        <x:v>Coverage</x:v>
      </x:c>
      <x:c r="O2" s="12" t="str">
        <x:v>Dashboard</x:v>
      </x:c>
      <x:c r="P2" s="13" t="str">
        <x:v>Dashboard</x:v>
      </x:c>
      <x:c r="Q2" s="12" t="str">
        <x:v>Audit</x:v>
      </x:c>
      <x:c r="R2" s="13" t="str">
        <x:v>Audit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REQUEST WORKFLOW</x:v>
      </x:c>
      <x:c r="B4" s="15" t="str">
        <x:v>REQUEST WORKFLOW</x:v>
      </x:c>
      <x:c r="C4" s="15" t="str">
        <x:v>REQUEST WORKFLOW</x:v>
      </x:c>
      <x:c r="D4" s="15" t="str">
        <x:v>REQUEST WORKFLOW</x:v>
      </x:c>
      <x:c r="E4" s="15" t="str">
        <x:v>REQUEST WORKFLOW</x:v>
      </x:c>
      <x:c r="F4" s="15" t="str">
        <x:v>REQUEST WORKFLOW</x:v>
      </x:c>
      <x:c r="G4" s="15" t="str">
        <x:v>REQUEST WORKFLOW</x:v>
      </x:c>
      <x:c r="H4" s="15" t="str">
        <x:v>REQUEST WORKFLOW</x:v>
      </x:c>
      <x:c r="I4" s="15" t="str">
        <x:v>REQUEST WORKFLOW</x:v>
      </x:c>
      <x:c r="J4" s="15" t="str">
        <x:v>REQUEST WORKFLOW</x:v>
      </x:c>
      <x:c r="K4" s="15" t="str">
        <x:v>REQUEST WORKFLOW</x:v>
      </x:c>
      <x:c r="L4" s="15" t="str">
        <x:v>REQUEST WORKFLOW</x:v>
      </x:c>
      <x:c r="M4" s="15" t="str">
        <x:v>REQUEST WORKFLOW</x:v>
      </x:c>
      <x:c r="N4" s="15" t="str">
        <x:v>REQUEST WORKFLOW</x:v>
      </x:c>
      <x:c r="O4" s="15" t="str">
        <x:v>REQUEST WORKFLOW</x:v>
      </x:c>
      <x:c r="P4" s="15" t="str">
        <x:v>REQUEST WORKFLOW</x:v>
      </x:c>
      <x:c r="Q4" s="15" t="str">
        <x:v>REQUEST WORKFLOW</x:v>
      </x:c>
      <x:c r="R4" s="15" t="str">
        <x:v>REQUEST WORKFLOW</x:v>
      </x:c>
      <x:c r="S4" s="15" t="str">
        <x:v>REQUEST WORKFLOW</x:v>
      </x:c>
      <x:c r="T4" s="15" t="str">
        <x:v>REQUEST WORKFLOW</x:v>
      </x:c>
    </x:row>
    <x:row r="5" ht="24" customHeight="1">
      <x:c r="A5" s="17" t="str">
        <x:v>Leave Request Register</x:v>
      </x:c>
      <x:c r="B5" s="17" t="str">
        <x:v>Leave Request Register</x:v>
      </x:c>
      <x:c r="C5" s="17" t="str">
        <x:v>Leave Request Register</x:v>
      </x:c>
      <x:c r="D5" s="17" t="str">
        <x:v>Leave Request Register</x:v>
      </x:c>
      <x:c r="E5" s="17" t="str">
        <x:v>Leave Request Register</x:v>
      </x:c>
      <x:c r="F5" s="17" t="str">
        <x:v>Leave Request Register</x:v>
      </x:c>
      <x:c r="G5" s="17" t="str">
        <x:v>Leave Request Register</x:v>
      </x:c>
      <x:c r="H5" s="17" t="str">
        <x:v>Leave Request Register</x:v>
      </x:c>
      <x:c r="I5" s="17" t="str">
        <x:v>Leave Request Register</x:v>
      </x:c>
      <x:c r="J5" s="17" t="str">
        <x:v>Leave Request Register</x:v>
      </x:c>
      <x:c r="K5" s="17" t="str">
        <x:v>Leave Request Register</x:v>
      </x:c>
      <x:c r="L5" s="17" t="str">
        <x:v>Leave Request Register</x:v>
      </x:c>
      <x:c r="M5" s="17" t="str">
        <x:v>Leave Request Register</x:v>
      </x:c>
      <x:c r="N5" s="17" t="str">
        <x:v>Leave Request Register</x:v>
      </x:c>
      <x:c r="O5" s="17" t="str">
        <x:v>Leave Request Register</x:v>
      </x:c>
      <x:c r="P5" s="17" t="str">
        <x:v>Leave Request Register</x:v>
      </x:c>
      <x:c r="Q5" s="17" t="str">
        <x:v>Leave Request Register</x:v>
      </x:c>
      <x:c r="R5" s="17" t="str">
        <x:v>Leave Request Register</x:v>
      </x:c>
      <x:c r="S5" s="17" t="str">
        <x:v>Leave Request Register</x:v>
      </x:c>
      <x:c r="T5" s="17" t="str">
        <x:v>Leave Request Register</x:v>
      </x:c>
    </x:row>
    <x:row r="6" ht="24" customHeight="1">
      <x:c r="A6" s="18" t="str">
        <x:v>Leave Request Register</x:v>
      </x:c>
      <x:c r="B6" s="18" t="str">
        <x:v>Leave Request Register</x:v>
      </x:c>
      <x:c r="C6" s="18" t="str">
        <x:v>Leave Request Register</x:v>
      </x:c>
      <x:c r="D6" s="18" t="str">
        <x:v>Leave Request Register</x:v>
      </x:c>
      <x:c r="E6" s="18" t="str">
        <x:v>Leave Request Register</x:v>
      </x:c>
      <x:c r="F6" s="18" t="str">
        <x:v>Leave Request Register</x:v>
      </x:c>
      <x:c r="G6" s="18" t="str">
        <x:v>Leave Request Register</x:v>
      </x:c>
      <x:c r="H6" s="18" t="str">
        <x:v>Leave Request Register</x:v>
      </x:c>
      <x:c r="I6" s="18" t="str">
        <x:v>Leave Request Register</x:v>
      </x:c>
      <x:c r="J6" s="18" t="str">
        <x:v>Leave Request Register</x:v>
      </x:c>
      <x:c r="K6" s="18" t="str">
        <x:v>Leave Request Register</x:v>
      </x:c>
      <x:c r="L6" s="18" t="str">
        <x:v>Leave Request Register</x:v>
      </x:c>
      <x:c r="M6" s="18" t="str">
        <x:v>Leave Request Register</x:v>
      </x:c>
      <x:c r="N6" s="18" t="str">
        <x:v>Leave Request Register</x:v>
      </x:c>
      <x:c r="O6" s="18" t="str">
        <x:v>Leave Request Register</x:v>
      </x:c>
      <x:c r="P6" s="18" t="str">
        <x:v>Leave Request Register</x:v>
      </x:c>
      <x:c r="Q6" s="18" t="str">
        <x:v>Leave Request Register</x:v>
      </x:c>
      <x:c r="R6" s="18" t="str">
        <x:v>Leave Request Register</x:v>
      </x:c>
      <x:c r="S6" s="18" t="str">
        <x:v>Leave Request Register</x:v>
      </x:c>
      <x:c r="T6" s="18" t="str">
        <x:v>Leave Request Register</x:v>
      </x:c>
    </x:row>
    <x:row r="7" ht="18" customHeight="1">
      <x:c r="A7" s="20" t="str">
        <x:v>Record requests once; monitor approval, overlap, duration, ownership, and data quality.</x:v>
      </x:c>
      <x:c r="B7" s="20" t="str">
        <x:v>Record requests once; monitor approval, overlap, duration, ownership, and data quality.</x:v>
      </x:c>
      <x:c r="C7" s="20" t="str">
        <x:v>Record requests once; monitor approval, overlap, duration, ownership, and data quality.</x:v>
      </x:c>
      <x:c r="D7" s="20" t="str">
        <x:v>Record requests once; monitor approval, overlap, duration, ownership, and data quality.</x:v>
      </x:c>
      <x:c r="E7" s="20" t="str">
        <x:v>Record requests once; monitor approval, overlap, duration, ownership, and data quality.</x:v>
      </x:c>
      <x:c r="F7" s="20" t="str">
        <x:v>Record requests once; monitor approval, overlap, duration, ownership, and data quality.</x:v>
      </x:c>
      <x:c r="G7" s="20" t="str">
        <x:v>Record requests once; monitor approval, overlap, duration, ownership, and data quality.</x:v>
      </x:c>
      <x:c r="H7" s="20" t="str">
        <x:v>Record requests once; monitor approval, overlap, duration, ownership, and data quality.</x:v>
      </x:c>
      <x:c r="I7" s="20" t="str">
        <x:v>Record requests once; monitor approval, overlap, duration, ownership, and data quality.</x:v>
      </x:c>
      <x:c r="J7" s="20" t="str">
        <x:v>Record requests once; monitor approval, overlap, duration, ownership, and data quality.</x:v>
      </x:c>
      <x:c r="K7" s="20" t="str">
        <x:v>Record requests once; monitor approval, overlap, duration, ownership, and data quality.</x:v>
      </x:c>
      <x:c r="L7" s="20" t="str">
        <x:v>Record requests once; monitor approval, overlap, duration, ownership, and data quality.</x:v>
      </x:c>
      <x:c r="M7" s="20" t="str">
        <x:v>Record requests once; monitor approval, overlap, duration, ownership, and data quality.</x:v>
      </x:c>
      <x:c r="N7" s="20" t="str">
        <x:v>Record requests once; monitor approval, overlap, duration, ownership, and data quality.</x:v>
      </x:c>
      <x:c r="O7" s="20" t="str">
        <x:v>Record requests once; monitor approval, overlap, duration, ownership, and data quality.</x:v>
      </x:c>
      <x:c r="P7" s="20" t="str">
        <x:v>Record requests once; monitor approval, overlap, duration, ownership, and data quality.</x:v>
      </x:c>
      <x:c r="Q7" s="20" t="str">
        <x:v>Record requests once; monitor approval, overlap, duration, ownership, and data quality.</x:v>
      </x:c>
      <x:c r="R7" s="20" t="str">
        <x:v>Record requests once; monitor approval, overlap, duration, ownership, and data quality.</x:v>
      </x:c>
      <x:c r="S7" s="20" t="str">
        <x:v>Record requests once; monitor approval, overlap, duration, ownership, and data quality.</x:v>
      </x:c>
      <x:c r="T7" s="20" t="str">
        <x:v>Record requests once; monitor approval, overlap, duration, ownership, and data quality.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Request ID</x:v>
      </x:c>
      <x:c r="B10" s="33" t="str">
        <x:v>Employee ID</x:v>
      </x:c>
      <x:c r="C10" s="33" t="str">
        <x:v>Employee name</x:v>
      </x:c>
      <x:c r="D10" s="33" t="str">
        <x:v>Department</x:v>
      </x:c>
      <x:c r="E10" s="33" t="str">
        <x:v>Leave type</x:v>
      </x:c>
      <x:c r="F10" s="33" t="str">
        <x:v>Start date</x:v>
      </x:c>
      <x:c r="G10" s="33" t="str">
        <x:v>End date</x:v>
      </x:c>
      <x:c r="H10" s="33" t="str">
        <x:v>Day unit</x:v>
      </x:c>
      <x:c r="I10" s="33" t="str">
        <x:v>Requested days</x:v>
      </x:c>
      <x:c r="J10" s="33" t="str">
        <x:v>Status</x:v>
      </x:c>
      <x:c r="K10" s="33" t="str">
        <x:v>Approver</x:v>
      </x:c>
      <x:c r="L10" s="33" t="str">
        <x:v>Decision date</x:v>
      </x:c>
      <x:c r="M10" s="33" t="str">
        <x:v>Reason / handover</x:v>
      </x:c>
      <x:c r="N10" s="33" t="str">
        <x:v>Overlap check</x:v>
      </x:c>
      <x:c r="O10" s="33" t="str">
        <x:v>Coverage check</x:v>
      </x:c>
      <x:c r="P10" s="33" t="str">
        <x:v>Data check</x:v>
      </x:c>
      <x:c r="Q10" s="33" t="str">
        <x:v>Priority</x:v>
      </x:c>
      <x:c r="R10" s="4"/>
      <x:c r="S10" s="4"/>
      <x:c r="T10" s="4"/>
    </x:row>
    <x:row r="11">
      <x:c r="A11" s="26" t="str">
        <x:v>REQ-001</x:v>
      </x:c>
      <x:c r="B11" s="26" t="str">
        <x:v>EMP-001</x:v>
      </x:c>
      <x:c r="C11" s="55" t="str">
        <x:f>IF(B11="","",IFERROR(INDEX('EMPLOYEES'!$B$11:$B$60,MATCH(B11,'EMPLOYEES'!$A$11:$A$60,0)),""))</x:f>
        <x:v>Maya Bennett</x:v>
      </x:c>
      <x:c r="D11" s="55" t="str">
        <x:f>IF(B11="","",IFERROR(INDEX('EMPLOYEES'!$C$11:$C$60,MATCH(B11,'EMPLOYEES'!$A$11:$A$60,0)),""))</x:f>
        <x:v>Operations</x:v>
      </x:c>
      <x:c r="E11" s="26" t="str">
        <x:v>Annual Leave</x:v>
      </x:c>
      <x:c r="F11" s="28" t="d">
        <x:v>2026-02-16T00:00:00.000Z</x:v>
      </x:c>
      <x:c r="G11" s="28" t="d">
        <x:v>2026-02-20T00:00:00.000Z</x:v>
      </x:c>
      <x:c r="H11" s="29" t="n">
        <x:v>1</x:v>
      </x:c>
      <x:c r="I11" s="68" t="n">
        <x:f>IF(OR(F11="",G11="",H11=""),"",MAX(0,NETWORKDAYS(F11,G11)*H11))</x:f>
        <x:v>5</x:v>
      </x:c>
      <x:c r="J11" s="26" t="str">
        <x:v>Approved</x:v>
      </x:c>
      <x:c r="K11" s="26" t="str">
        <x:v>Omar Haddad</x:v>
      </x:c>
      <x:c r="L11" s="28" t="d">
        <x:v>2026-01-28T00:00:00.000Z</x:v>
      </x:c>
      <x:c r="M11" s="26" t="str">
        <x:v>Family travel; handover completed</x:v>
      </x:c>
      <x:c r="N11" s="55" t="str">
        <x:f>IF(A11="","",IF(COUNTIFS($B$11:$B$90,B11,$F$11:$F$90,"&lt;="&amp;G11,$G$11:$G$90,"&gt;="&amp;F11,$J$11:$J$90,"&lt;&gt;Declined",$J$11:$J$90,"&lt;&gt;Cancelled")&gt;1,"Overlap","Clear"))</x:f>
        <x:v>Clear</x:v>
      </x:c>
      <x:c r="O11" s="55" t="str">
        <x:f>IF(A11="","",IF(OR(J11="Declined",J11="Cancelled"),"Not applicable",IF(COUNTIFS('EMPLOYEES'!$C$11:$C$60,D11,'EMPLOYEES'!$F$11:$F$60,"Active")-COUNTIFS($D$11:$D$90,D11,$F$11:$F$90,"&lt;="&amp;F11,$G$11:$G$90,"&gt;="&amp;F11,$J$11:$J$90,"Approved")-IF(J11="Pending",1,0)&lt;IFERROR(INDEX('SETUP'!$K$19:$K$23,MATCH(D11,'SETUP'!$J$19:$J$23,0)),0),"At Risk","Covered")))</x:f>
        <x:v>Covered</x:v>
      </x:c>
      <x:c r="P11" s="55" t="str">
        <x:f>IF(A11="","",IF(OR(B11="",C11="",E11="",F11="",G11="",H11="",J11="",G11&lt;F11,I11&lt;=0,COUNTIF($A$11:$A$90,A11)&gt;1),"ERROR","PASS"))</x:f>
        <x:v>PASS</x:v>
      </x:c>
      <x:c r="Q11" s="73" t="n">
        <x:f>IF(P11="ERROR",ROW()-10,IF(N11="Overlap",100+ROW()-10,IF(AND(O11="At Risk",OR(J11="Pending",AND(J11="Approved",F11&gt;='SETUP'!$D$13))),200+ROW()-10,IF(J11="Pending",300+ROW()-10,9999))))</x:f>
        <x:v>9999</x:v>
      </x:c>
      <x:c r="R11" s="4"/>
      <x:c r="S11" s="4"/>
      <x:c r="T11" s="4"/>
      <x:c r="AA11" s="54" t="str">
        <x:v>EMP-001</x:v>
      </x:c>
      <x:c r="AB11" s="54" t="str">
        <x:v>Annual Leave</x:v>
      </x:c>
      <x:c r="AC11" s="54" t="n">
        <x:v>1</x:v>
      </x:c>
      <x:c r="AD11" s="54" t="str">
        <x:v>Pending</x:v>
      </x:c>
    </x:row>
    <x:row r="12">
      <x:c r="A12" s="26" t="str">
        <x:v>REQ-002</x:v>
      </x:c>
      <x:c r="B12" s="26" t="str">
        <x:v>EMP-002</x:v>
      </x:c>
      <x:c r="C12" s="55" t="str">
        <x:f>IF(B12="","",IFERROR(INDEX('EMPLOYEES'!$B$11:$B$60,MATCH(B12,'EMPLOYEES'!$A$11:$A$60,0)),""))</x:f>
        <x:v>Omar Haddad</x:v>
      </x:c>
      <x:c r="D12" s="55" t="str">
        <x:f>IF(B12="","",IFERROR(INDEX('EMPLOYEES'!$C$11:$C$60,MATCH(B12,'EMPLOYEES'!$A$11:$A$60,0)),""))</x:f>
        <x:v>Operations</x:v>
      </x:c>
      <x:c r="E12" s="26" t="str">
        <x:v>Sick Leave</x:v>
      </x:c>
      <x:c r="F12" s="28" t="d">
        <x:v>2026-03-09T00:00:00.000Z</x:v>
      </x:c>
      <x:c r="G12" s="28" t="d">
        <x:v>2026-03-10T00:00:00.000Z</x:v>
      </x:c>
      <x:c r="H12" s="29" t="n">
        <x:v>1</x:v>
      </x:c>
      <x:c r="I12" s="68" t="n">
        <x:f>IF(OR(F12="",G12="",H12=""),"",MAX(0,NETWORKDAYS(F12,G12)*H12))</x:f>
        <x:v>2</x:v>
      </x:c>
      <x:c r="J12" s="26" t="str">
        <x:v>Approved</x:v>
      </x:c>
      <x:c r="K12" s="26" t="str">
        <x:v>Leila Mansour</x:v>
      </x:c>
      <x:c r="L12" s="28" t="d">
        <x:v>2026-03-09T00:00:00.000Z</x:v>
      </x:c>
      <x:c r="M12" s="26" t="str">
        <x:v>Medical recovery</x:v>
      </x:c>
      <x:c r="N12" s="55" t="str">
        <x:f>IF(A12="","",IF(COUNTIFS($B$11:$B$90,B12,$F$11:$F$90,"&lt;="&amp;G12,$G$11:$G$90,"&gt;="&amp;F12,$J$11:$J$90,"&lt;&gt;Declined",$J$11:$J$90,"&lt;&gt;Cancelled")&gt;1,"Overlap","Clear"))</x:f>
        <x:v>Clear</x:v>
      </x:c>
      <x:c r="O12" s="55" t="str">
        <x:f>IF(A12="","",IF(OR(J12="Declined",J12="Cancelled"),"Not applicable",IF(COUNTIFS('EMPLOYEES'!$C$11:$C$60,D12,'EMPLOYEES'!$F$11:$F$60,"Active")-COUNTIFS($D$11:$D$90,D12,$F$11:$F$90,"&lt;="&amp;F12,$G$11:$G$90,"&gt;="&amp;F12,$J$11:$J$90,"Approved")-IF(J12="Pending",1,0)&lt;IFERROR(INDEX('SETUP'!$K$19:$K$23,MATCH(D12,'SETUP'!$J$19:$J$23,0)),0),"At Risk","Covered")))</x:f>
        <x:v>Covered</x:v>
      </x:c>
      <x:c r="P12" s="55" t="str">
        <x:f>IF(A12="","",IF(OR(B12="",C12="",E12="",F12="",G12="",H12="",J12="",G12&lt;F12,I12&lt;=0,COUNTIF($A$11:$A$90,A12)&gt;1),"ERROR","PASS"))</x:f>
        <x:v>PASS</x:v>
      </x:c>
      <x:c r="Q12" s="73" t="n">
        <x:f>IF(P12="ERROR",ROW()-10,IF(N12="Overlap",100+ROW()-10,IF(AND(O12="At Risk",OR(J12="Pending",AND(J12="Approved",F12&gt;='SETUP'!$D$13))),200+ROW()-10,IF(J12="Pending",300+ROW()-10,9999))))</x:f>
        <x:v>9999</x:v>
      </x:c>
      <x:c r="R12" s="4"/>
      <x:c r="S12" s="4"/>
      <x:c r="T12" s="4"/>
      <x:c r="AA12" s="54" t="str">
        <x:v>EMP-002</x:v>
      </x:c>
      <x:c r="AB12" s="54" t="str">
        <x:v>Sick Leave</x:v>
      </x:c>
      <x:c r="AC12" s="54" t="n">
        <x:v>0.5</x:v>
      </x:c>
      <x:c r="AD12" s="54" t="str">
        <x:v>Approved</x:v>
      </x:c>
    </x:row>
    <x:row r="13">
      <x:c r="A13" s="26" t="str">
        <x:v>REQ-003</x:v>
      </x:c>
      <x:c r="B13" s="26" t="str">
        <x:v>EMP-003</x:v>
      </x:c>
      <x:c r="C13" s="55" t="str">
        <x:f>IF(B13="","",IFERROR(INDEX('EMPLOYEES'!$B$11:$B$60,MATCH(B13,'EMPLOYEES'!$A$11:$A$60,0)),""))</x:f>
        <x:v>Sofia Alvarez</x:v>
      </x:c>
      <x:c r="D13" s="55" t="str">
        <x:f>IF(B13="","",IFERROR(INDEX('EMPLOYEES'!$C$11:$C$60,MATCH(B13,'EMPLOYEES'!$A$11:$A$60,0)),""))</x:f>
        <x:v>Sales</x:v>
      </x:c>
      <x:c r="E13" s="26" t="str">
        <x:v>Annual Leave</x:v>
      </x:c>
      <x:c r="F13" s="28" t="d">
        <x:v>2026-04-06T00:00:00.000Z</x:v>
      </x:c>
      <x:c r="G13" s="28" t="d">
        <x:v>2026-04-10T00:00:00.000Z</x:v>
      </x:c>
      <x:c r="H13" s="29" t="n">
        <x:v>1</x:v>
      </x:c>
      <x:c r="I13" s="68" t="n">
        <x:f>IF(OR(F13="",G13="",H13=""),"",MAX(0,NETWORKDAYS(F13,G13)*H13))</x:f>
        <x:v>5</x:v>
      </x:c>
      <x:c r="J13" s="26" t="str">
        <x:v>Approved</x:v>
      </x:c>
      <x:c r="K13" s="26" t="str">
        <x:v>Leila Mansour</x:v>
      </x:c>
      <x:c r="L13" s="28" t="d">
        <x:v>2026-03-10T00:00:00.000Z</x:v>
      </x:c>
      <x:c r="M13" s="26" t="str">
        <x:v>Annual break; pipeline covered</x:v>
      </x:c>
      <x:c r="N13" s="55" t="str">
        <x:f>IF(A13="","",IF(COUNTIFS($B$11:$B$90,B13,$F$11:$F$90,"&lt;="&amp;G13,$G$11:$G$90,"&gt;="&amp;F13,$J$11:$J$90,"&lt;&gt;Declined",$J$11:$J$90,"&lt;&gt;Cancelled")&gt;1,"Overlap","Clear"))</x:f>
        <x:v>Clear</x:v>
      </x:c>
      <x:c r="O13" s="55" t="str">
        <x:f>IF(A13="","",IF(OR(J13="Declined",J13="Cancelled"),"Not applicable",IF(COUNTIFS('EMPLOYEES'!$C$11:$C$60,D13,'EMPLOYEES'!$F$11:$F$60,"Active")-COUNTIFS($D$11:$D$90,D13,$F$11:$F$90,"&lt;="&amp;F13,$G$11:$G$90,"&gt;="&amp;F13,$J$11:$J$90,"Approved")-IF(J13="Pending",1,0)&lt;IFERROR(INDEX('SETUP'!$K$19:$K$23,MATCH(D13,'SETUP'!$J$19:$J$23,0)),0),"At Risk","Covered")))</x:f>
        <x:v>Covered</x:v>
      </x:c>
      <x:c r="P13" s="55" t="str">
        <x:f>IF(A13="","",IF(OR(B13="",C13="",E13="",F13="",G13="",H13="",J13="",G13&lt;F13,I13&lt;=0,COUNTIF($A$11:$A$90,A13)&gt;1),"ERROR","PASS"))</x:f>
        <x:v>PASS</x:v>
      </x:c>
      <x:c r="Q13" s="73" t="n">
        <x:f>IF(P13="ERROR",ROW()-10,IF(N13="Overlap",100+ROW()-10,IF(AND(O13="At Risk",OR(J13="Pending",AND(J13="Approved",F13&gt;='SETUP'!$D$13))),200+ROW()-10,IF(J13="Pending",300+ROW()-10,9999))))</x:f>
        <x:v>9999</x:v>
      </x:c>
      <x:c r="R13" s="4"/>
      <x:c r="S13" s="4"/>
      <x:c r="T13" s="4"/>
      <x:c r="AA13" s="54" t="str">
        <x:v>EMP-003</x:v>
      </x:c>
      <x:c r="AB13" s="54" t="str">
        <x:v>Personal Leave</x:v>
      </x:c>
      <x:c r="AD13" s="54" t="str">
        <x:v>Declined</x:v>
      </x:c>
    </x:row>
    <x:row r="14">
      <x:c r="A14" s="26" t="str">
        <x:v>REQ-004</x:v>
      </x:c>
      <x:c r="B14" s="26" t="str">
        <x:v>EMP-004</x:v>
      </x:c>
      <x:c r="C14" s="55" t="str">
        <x:f>IF(B14="","",IFERROR(INDEX('EMPLOYEES'!$B$11:$B$60,MATCH(B14,'EMPLOYEES'!$A$11:$A$60,0)),""))</x:f>
        <x:v>Daniel Kim</x:v>
      </x:c>
      <x:c r="D14" s="55" t="str">
        <x:f>IF(B14="","",IFERROR(INDEX('EMPLOYEES'!$C$11:$C$60,MATCH(B14,'EMPLOYEES'!$A$11:$A$60,0)),""))</x:f>
        <x:v>Sales</x:v>
      </x:c>
      <x:c r="E14" s="26" t="str">
        <x:v>Personal Leave</x:v>
      </x:c>
      <x:c r="F14" s="28" t="d">
        <x:v>2026-05-15T00:00:00.000Z</x:v>
      </x:c>
      <x:c r="G14" s="28" t="d">
        <x:v>2026-05-15T00:00:00.000Z</x:v>
      </x:c>
      <x:c r="H14" s="29" t="n">
        <x:v>1</x:v>
      </x:c>
      <x:c r="I14" s="68" t="n">
        <x:f>IF(OR(F14="",G14="",H14=""),"",MAX(0,NETWORKDAYS(F14,G14)*H14))</x:f>
        <x:v>1</x:v>
      </x:c>
      <x:c r="J14" s="26" t="str">
        <x:v>Approved</x:v>
      </x:c>
      <x:c r="K14" s="26" t="str">
        <x:v>Sofia Alvarez</x:v>
      </x:c>
      <x:c r="L14" s="28" t="d">
        <x:v>2026-05-11T00:00:00.000Z</x:v>
      </x:c>
      <x:c r="M14" s="26" t="str">
        <x:v>Personal appointment</x:v>
      </x:c>
      <x:c r="N14" s="55" t="str">
        <x:f>IF(A14="","",IF(COUNTIFS($B$11:$B$90,B14,$F$11:$F$90,"&lt;="&amp;G14,$G$11:$G$90,"&gt;="&amp;F14,$J$11:$J$90,"&lt;&gt;Declined",$J$11:$J$90,"&lt;&gt;Cancelled")&gt;1,"Overlap","Clear"))</x:f>
        <x:v>Clear</x:v>
      </x:c>
      <x:c r="O14" s="55" t="str">
        <x:f>IF(A14="","",IF(OR(J14="Declined",J14="Cancelled"),"Not applicable",IF(COUNTIFS('EMPLOYEES'!$C$11:$C$60,D14,'EMPLOYEES'!$F$11:$F$60,"Active")-COUNTIFS($D$11:$D$90,D14,$F$11:$F$90,"&lt;="&amp;F14,$G$11:$G$90,"&gt;="&amp;F14,$J$11:$J$90,"Approved")-IF(J14="Pending",1,0)&lt;IFERROR(INDEX('SETUP'!$K$19:$K$23,MATCH(D14,'SETUP'!$J$19:$J$23,0)),0),"At Risk","Covered")))</x:f>
        <x:v>Covered</x:v>
      </x:c>
      <x:c r="P14" s="55" t="str">
        <x:f>IF(A14="","",IF(OR(B14="",C14="",E14="",F14="",G14="",H14="",J14="",G14&lt;F14,I14&lt;=0,COUNTIF($A$11:$A$90,A14)&gt;1),"ERROR","PASS"))</x:f>
        <x:v>PASS</x:v>
      </x:c>
      <x:c r="Q14" s="73" t="n">
        <x:f>IF(P14="ERROR",ROW()-10,IF(N14="Overlap",100+ROW()-10,IF(AND(O14="At Risk",OR(J14="Pending",AND(J14="Approved",F14&gt;='SETUP'!$D$13))),200+ROW()-10,IF(J14="Pending",300+ROW()-10,9999))))</x:f>
        <x:v>9999</x:v>
      </x:c>
      <x:c r="R14" s="4"/>
      <x:c r="S14" s="4"/>
      <x:c r="T14" s="4"/>
      <x:c r="AA14" s="54" t="str">
        <x:v>EMP-004</x:v>
      </x:c>
      <x:c r="AB14" s="54" t="str">
        <x:v>Unpaid Leave</x:v>
      </x:c>
      <x:c r="AD14" s="54" t="str">
        <x:v>Cancelled</x:v>
      </x:c>
    </x:row>
    <x:row r="15">
      <x:c r="A15" s="26" t="str">
        <x:v>REQ-005</x:v>
      </x:c>
      <x:c r="B15" s="26" t="str">
        <x:v>EMP-005</x:v>
      </x:c>
      <x:c r="C15" s="55" t="str">
        <x:f>IF(B15="","",IFERROR(INDEX('EMPLOYEES'!$B$11:$B$60,MATCH(B15,'EMPLOYEES'!$A$11:$A$60,0)),""))</x:f>
        <x:v>Noor Rahman</x:v>
      </x:c>
      <x:c r="D15" s="55" t="str">
        <x:f>IF(B15="","",IFERROR(INDEX('EMPLOYEES'!$C$11:$C$60,MATCH(B15,'EMPLOYEES'!$A$11:$A$60,0)),""))</x:f>
        <x:v>Finance</x:v>
      </x:c>
      <x:c r="E15" s="26" t="str">
        <x:v>Annual Leave</x:v>
      </x:c>
      <x:c r="F15" s="28" t="d">
        <x:v>2026-06-22T00:00:00.000Z</x:v>
      </x:c>
      <x:c r="G15" s="28" t="d">
        <x:v>2026-06-26T00:00:00.000Z</x:v>
      </x:c>
      <x:c r="H15" s="29" t="n">
        <x:v>1</x:v>
      </x:c>
      <x:c r="I15" s="68" t="n">
        <x:f>IF(OR(F15="",G15="",H15=""),"",MAX(0,NETWORKDAYS(F15,G15)*H15))</x:f>
        <x:v>5</x:v>
      </x:c>
      <x:c r="J15" s="26" t="str">
        <x:v>Approved</x:v>
      </x:c>
      <x:c r="K15" s="26" t="str">
        <x:v>Leila Mansour</x:v>
      </x:c>
      <x:c r="L15" s="28" t="d">
        <x:v>2026-05-30T00:00:00.000Z</x:v>
      </x:c>
      <x:c r="M15" s="26" t="str">
        <x:v>Annual break; close tasks reassigned</x:v>
      </x:c>
      <x:c r="N15" s="55" t="str">
        <x:f>IF(A15="","",IF(COUNTIFS($B$11:$B$90,B15,$F$11:$F$90,"&lt;="&amp;G15,$G$11:$G$90,"&gt;="&amp;F15,$J$11:$J$90,"&lt;&gt;Declined",$J$11:$J$90,"&lt;&gt;Cancelled")&gt;1,"Overlap","Clear"))</x:f>
        <x:v>Clear</x:v>
      </x:c>
      <x:c r="O15" s="55" t="str">
        <x:f>IF(A15="","",IF(OR(J15="Declined",J15="Cancelled"),"Not applicable",IF(COUNTIFS('EMPLOYEES'!$C$11:$C$60,D15,'EMPLOYEES'!$F$11:$F$60,"Active")-COUNTIFS($D$11:$D$90,D15,$F$11:$F$90,"&lt;="&amp;F15,$G$11:$G$90,"&gt;="&amp;F15,$J$11:$J$90,"Approved")-IF(J15="Pending",1,0)&lt;IFERROR(INDEX('SETUP'!$K$19:$K$23,MATCH(D15,'SETUP'!$J$19:$J$23,0)),0),"At Risk","Covered")))</x:f>
        <x:v>At Risk</x:v>
      </x:c>
      <x:c r="P15" s="55" t="str">
        <x:f>IF(A15="","",IF(OR(B15="",C15="",E15="",F15="",G15="",H15="",J15="",G15&lt;F15,I15&lt;=0,COUNTIF($A$11:$A$90,A15)&gt;1),"ERROR","PASS"))</x:f>
        <x:v>PASS</x:v>
      </x:c>
      <x:c r="Q15" s="73" t="n">
        <x:f>IF(P15="ERROR",ROW()-10,IF(N15="Overlap",100+ROW()-10,IF(AND(O15="At Risk",OR(J15="Pending",AND(J15="Approved",F15&gt;='SETUP'!$D$13))),200+ROW()-10,IF(J15="Pending",300+ROW()-10,9999))))</x:f>
        <x:v>9999</x:v>
      </x:c>
      <x:c r="R15" s="4"/>
      <x:c r="S15" s="4"/>
      <x:c r="T15" s="4"/>
      <x:c r="AA15" s="54" t="str">
        <x:v>EMP-005</x:v>
      </x:c>
    </x:row>
    <x:row r="16">
      <x:c r="A16" s="26" t="str">
        <x:v>REQ-006</x:v>
      </x:c>
      <x:c r="B16" s="26" t="str">
        <x:v>EMP-006</x:v>
      </x:c>
      <x:c r="C16" s="55" t="str">
        <x:f>IF(B16="","",IFERROR(INDEX('EMPLOYEES'!$B$11:$B$60,MATCH(B16,'EMPLOYEES'!$A$11:$A$60,0)),""))</x:f>
        <x:v>Lucia Torres</x:v>
      </x:c>
      <x:c r="D16" s="55" t="str">
        <x:f>IF(B16="","",IFERROR(INDEX('EMPLOYEES'!$C$11:$C$60,MATCH(B16,'EMPLOYEES'!$A$11:$A$60,0)),""))</x:f>
        <x:v>Marketing</x:v>
      </x:c>
      <x:c r="E16" s="26" t="str">
        <x:v>Sick Leave</x:v>
      </x:c>
      <x:c r="F16" s="28" t="d">
        <x:v>2026-07-13T00:00:00.000Z</x:v>
      </x:c>
      <x:c r="G16" s="28" t="d">
        <x:v>2026-07-14T00:00:00.000Z</x:v>
      </x:c>
      <x:c r="H16" s="29" t="n">
        <x:v>1</x:v>
      </x:c>
      <x:c r="I16" s="68" t="n">
        <x:f>IF(OR(F16="",G16="",H16=""),"",MAX(0,NETWORKDAYS(F16,G16)*H16))</x:f>
        <x:v>2</x:v>
      </x:c>
      <x:c r="J16" s="26" t="str">
        <x:v>Approved</x:v>
      </x:c>
      <x:c r="K16" s="26" t="str">
        <x:v>Leila Mansour</x:v>
      </x:c>
      <x:c r="L16" s="28" t="d">
        <x:v>2026-07-13T00:00:00.000Z</x:v>
      </x:c>
      <x:c r="M16" s="26" t="str">
        <x:v>Medical leave</x:v>
      </x:c>
      <x:c r="N16" s="55" t="str">
        <x:f>IF(A16="","",IF(COUNTIFS($B$11:$B$90,B16,$F$11:$F$90,"&lt;="&amp;G16,$G$11:$G$90,"&gt;="&amp;F16,$J$11:$J$90,"&lt;&gt;Declined",$J$11:$J$90,"&lt;&gt;Cancelled")&gt;1,"Overlap","Clear"))</x:f>
        <x:v>Clear</x:v>
      </x:c>
      <x:c r="O16" s="55" t="str">
        <x:f>IF(A16="","",IF(OR(J16="Declined",J16="Cancelled"),"Not applicable",IF(COUNTIFS('EMPLOYEES'!$C$11:$C$60,D16,'EMPLOYEES'!$F$11:$F$60,"Active")-COUNTIFS($D$11:$D$90,D16,$F$11:$F$90,"&lt;="&amp;F16,$G$11:$G$90,"&gt;="&amp;F16,$J$11:$J$90,"Approved")-IF(J16="Pending",1,0)&lt;IFERROR(INDEX('SETUP'!$K$19:$K$23,MATCH(D16,'SETUP'!$J$19:$J$23,0)),0),"At Risk","Covered")))</x:f>
        <x:v>At Risk</x:v>
      </x:c>
      <x:c r="P16" s="55" t="str">
        <x:f>IF(A16="","",IF(OR(B16="",C16="",E16="",F16="",G16="",H16="",J16="",G16&lt;F16,I16&lt;=0,COUNTIF($A$11:$A$90,A16)&gt;1),"ERROR","PASS"))</x:f>
        <x:v>PASS</x:v>
      </x:c>
      <x:c r="Q16" s="73" t="n">
        <x:f>IF(P16="ERROR",ROW()-10,IF(N16="Overlap",100+ROW()-10,IF(AND(O16="At Risk",OR(J16="Pending",AND(J16="Approved",F16&gt;='SETUP'!$D$13))),200+ROW()-10,IF(J16="Pending",300+ROW()-10,9999))))</x:f>
        <x:v>9999</x:v>
      </x:c>
      <x:c r="R16" s="4"/>
      <x:c r="S16" s="4"/>
      <x:c r="T16" s="4"/>
      <x:c r="AA16" s="54" t="str">
        <x:v>EMP-006</x:v>
      </x:c>
    </x:row>
    <x:row r="17">
      <x:c r="A17" s="26" t="str">
        <x:v>REQ-007</x:v>
      </x:c>
      <x:c r="B17" s="26" t="str">
        <x:v>EMP-007</x:v>
      </x:c>
      <x:c r="C17" s="55" t="str">
        <x:f>IF(B17="","",IFERROR(INDEX('EMPLOYEES'!$B$11:$B$60,MATCH(B17,'EMPLOYEES'!$A$11:$A$60,0)),""))</x:f>
        <x:v>Yusuf Karim</x:v>
      </x:c>
      <x:c r="D17" s="55" t="str">
        <x:f>IF(B17="","",IFERROR(INDEX('EMPLOYEES'!$C$11:$C$60,MATCH(B17,'EMPLOYEES'!$A$11:$A$60,0)),""))</x:f>
        <x:v>Client Success</x:v>
      </x:c>
      <x:c r="E17" s="26" t="str">
        <x:v>Annual Leave</x:v>
      </x:c>
      <x:c r="F17" s="28" t="d">
        <x:v>2026-08-17T00:00:00.000Z</x:v>
      </x:c>
      <x:c r="G17" s="28" t="d">
        <x:v>2026-08-21T00:00:00.000Z</x:v>
      </x:c>
      <x:c r="H17" s="29" t="n">
        <x:v>1</x:v>
      </x:c>
      <x:c r="I17" s="68" t="n">
        <x:f>IF(OR(F17="",G17="",H17=""),"",MAX(0,NETWORKDAYS(F17,G17)*H17))</x:f>
        <x:v>5</x:v>
      </x:c>
      <x:c r="J17" s="26" t="str">
        <x:v>Approved</x:v>
      </x:c>
      <x:c r="K17" s="26" t="str">
        <x:v>Leila Mansour</x:v>
      </x:c>
      <x:c r="L17" s="28" t="d">
        <x:v>2026-07-20T00:00:00.000Z</x:v>
      </x:c>
      <x:c r="M17" s="26" t="str">
        <x:v>Family travel; accounts assigned</x:v>
      </x:c>
      <x:c r="N17" s="55" t="str">
        <x:f>IF(A17="","",IF(COUNTIFS($B$11:$B$90,B17,$F$11:$F$90,"&lt;="&amp;G17,$G$11:$G$90,"&gt;="&amp;F17,$J$11:$J$90,"&lt;&gt;Declined",$J$11:$J$90,"&lt;&gt;Cancelled")&gt;1,"Overlap","Clear"))</x:f>
        <x:v>Clear</x:v>
      </x:c>
      <x:c r="O17" s="55" t="str">
        <x:f>IF(A17="","",IF(OR(J17="Declined",J17="Cancelled"),"Not applicable",IF(COUNTIFS('EMPLOYEES'!$C$11:$C$60,D17,'EMPLOYEES'!$F$11:$F$60,"Active")-COUNTIFS($D$11:$D$90,D17,$F$11:$F$90,"&lt;="&amp;F17,$G$11:$G$90,"&gt;="&amp;F17,$J$11:$J$90,"Approved")-IF(J17="Pending",1,0)&lt;IFERROR(INDEX('SETUP'!$K$19:$K$23,MATCH(D17,'SETUP'!$J$19:$J$23,0)),0),"At Risk","Covered")))</x:f>
        <x:v>Covered</x:v>
      </x:c>
      <x:c r="P17" s="55" t="str">
        <x:f>IF(A17="","",IF(OR(B17="",C17="",E17="",F17="",G17="",H17="",J17="",G17&lt;F17,I17&lt;=0,COUNTIF($A$11:$A$90,A17)&gt;1),"ERROR","PASS"))</x:f>
        <x:v>PASS</x:v>
      </x:c>
      <x:c r="Q17" s="73" t="n">
        <x:f>IF(P17="ERROR",ROW()-10,IF(N17="Overlap",100+ROW()-10,IF(AND(O17="At Risk",OR(J17="Pending",AND(J17="Approved",F17&gt;='SETUP'!$D$13))),200+ROW()-10,IF(J17="Pending",300+ROW()-10,9999))))</x:f>
        <x:v>9999</x:v>
      </x:c>
      <x:c r="R17" s="4"/>
      <x:c r="S17" s="4"/>
      <x:c r="T17" s="4"/>
      <x:c r="AA17" s="54" t="str">
        <x:v>EMP-007</x:v>
      </x:c>
    </x:row>
    <x:row r="18">
      <x:c r="A18" s="26" t="str">
        <x:v>REQ-008</x:v>
      </x:c>
      <x:c r="B18" s="26" t="str">
        <x:v>EMP-008</x:v>
      </x:c>
      <x:c r="C18" s="55" t="str">
        <x:f>IF(B18="","",IFERROR(INDEX('EMPLOYEES'!$B$11:$B$60,MATCH(B18,'EMPLOYEES'!$A$11:$A$60,0)),""))</x:f>
        <x:v>Amelia Stone</x:v>
      </x:c>
      <x:c r="D18" s="55" t="str">
        <x:f>IF(B18="","",IFERROR(INDEX('EMPLOYEES'!$C$11:$C$60,MATCH(B18,'EMPLOYEES'!$A$11:$A$60,0)),""))</x:f>
        <x:v>Client Success</x:v>
      </x:c>
      <x:c r="E18" s="26" t="str">
        <x:v>Personal Leave</x:v>
      </x:c>
      <x:c r="F18" s="28" t="d">
        <x:v>2026-09-04T00:00:00.000Z</x:v>
      </x:c>
      <x:c r="G18" s="28" t="d">
        <x:v>2026-09-04T00:00:00.000Z</x:v>
      </x:c>
      <x:c r="H18" s="29" t="n">
        <x:v>0.5</x:v>
      </x:c>
      <x:c r="I18" s="68" t="n">
        <x:f>IF(OR(F18="",G18="",H18=""),"",MAX(0,NETWORKDAYS(F18,G18)*H18))</x:f>
        <x:v>0.5</x:v>
      </x:c>
      <x:c r="J18" s="26" t="str">
        <x:v>Approved</x:v>
      </x:c>
      <x:c r="K18" s="26" t="str">
        <x:v>Yusuf Karim</x:v>
      </x:c>
      <x:c r="L18" s="28" t="d">
        <x:v>2026-09-01T00:00:00.000Z</x:v>
      </x:c>
      <x:c r="M18" s="26" t="str">
        <x:v>Personal appointment</x:v>
      </x:c>
      <x:c r="N18" s="55" t="str">
        <x:f>IF(A18="","",IF(COUNTIFS($B$11:$B$90,B18,$F$11:$F$90,"&lt;="&amp;G18,$G$11:$G$90,"&gt;="&amp;F18,$J$11:$J$90,"&lt;&gt;Declined",$J$11:$J$90,"&lt;&gt;Cancelled")&gt;1,"Overlap","Clear"))</x:f>
        <x:v>Clear</x:v>
      </x:c>
      <x:c r="O18" s="55" t="str">
        <x:f>IF(A18="","",IF(OR(J18="Declined",J18="Cancelled"),"Not applicable",IF(COUNTIFS('EMPLOYEES'!$C$11:$C$60,D18,'EMPLOYEES'!$F$11:$F$60,"Active")-COUNTIFS($D$11:$D$90,D18,$F$11:$F$90,"&lt;="&amp;F18,$G$11:$G$90,"&gt;="&amp;F18,$J$11:$J$90,"Approved")-IF(J18="Pending",1,0)&lt;IFERROR(INDEX('SETUP'!$K$19:$K$23,MATCH(D18,'SETUP'!$J$19:$J$23,0)),0),"At Risk","Covered")))</x:f>
        <x:v>Covered</x:v>
      </x:c>
      <x:c r="P18" s="55" t="str">
        <x:f>IF(A18="","",IF(OR(B18="",C18="",E18="",F18="",G18="",H18="",J18="",G18&lt;F18,I18&lt;=0,COUNTIF($A$11:$A$90,A18)&gt;1),"ERROR","PASS"))</x:f>
        <x:v>PASS</x:v>
      </x:c>
      <x:c r="Q18" s="73" t="n">
        <x:f>IF(P18="ERROR",ROW()-10,IF(N18="Overlap",100+ROW()-10,IF(AND(O18="At Risk",OR(J18="Pending",AND(J18="Approved",F18&gt;='SETUP'!$D$13))),200+ROW()-10,IF(J18="Pending",300+ROW()-10,9999))))</x:f>
        <x:v>9999</x:v>
      </x:c>
      <x:c r="R18" s="4"/>
      <x:c r="S18" s="4"/>
      <x:c r="T18" s="4"/>
      <x:c r="AA18" s="54" t="str">
        <x:v>EMP-008</x:v>
      </x:c>
    </x:row>
    <x:row r="19">
      <x:c r="A19" s="26" t="str">
        <x:v>REQ-009</x:v>
      </x:c>
      <x:c r="B19" s="26" t="str">
        <x:v>EMP-001</x:v>
      </x:c>
      <x:c r="C19" s="55" t="str">
        <x:f>IF(B19="","",IFERROR(INDEX('EMPLOYEES'!$B$11:$B$60,MATCH(B19,'EMPLOYEES'!$A$11:$A$60,0)),""))</x:f>
        <x:v>Maya Bennett</x:v>
      </x:c>
      <x:c r="D19" s="55" t="str">
        <x:f>IF(B19="","",IFERROR(INDEX('EMPLOYEES'!$C$11:$C$60,MATCH(B19,'EMPLOYEES'!$A$11:$A$60,0)),""))</x:f>
        <x:v>Operations</x:v>
      </x:c>
      <x:c r="E19" s="26" t="str">
        <x:v>Annual Leave</x:v>
      </x:c>
      <x:c r="F19" s="28" t="d">
        <x:v>2026-11-09T00:00:00.000Z</x:v>
      </x:c>
      <x:c r="G19" s="28" t="d">
        <x:v>2026-11-11T00:00:00.000Z</x:v>
      </x:c>
      <x:c r="H19" s="29" t="n">
        <x:v>1</x:v>
      </x:c>
      <x:c r="I19" s="68" t="n">
        <x:f>IF(OR(F19="",G19="",H19=""),"",MAX(0,NETWORKDAYS(F19,G19)*H19))</x:f>
        <x:v>3</x:v>
      </x:c>
      <x:c r="J19" s="26" t="str">
        <x:v>Approved</x:v>
      </x:c>
      <x:c r="K19" s="26" t="str">
        <x:v>Omar Haddad</x:v>
      </x:c>
      <x:c r="L19" s="28" t="d">
        <x:v>2026-10-20T00:00:00.000Z</x:v>
      </x:c>
      <x:c r="M19" s="26" t="str">
        <x:v>Planned break; coverage confirmed</x:v>
      </x:c>
      <x:c r="N19" s="55" t="str">
        <x:f>IF(A19="","",IF(COUNTIFS($B$11:$B$90,B19,$F$11:$F$90,"&lt;="&amp;G19,$G$11:$G$90,"&gt;="&amp;F19,$J$11:$J$90,"&lt;&gt;Declined",$J$11:$J$90,"&lt;&gt;Cancelled")&gt;1,"Overlap","Clear"))</x:f>
        <x:v>Clear</x:v>
      </x:c>
      <x:c r="O19" s="55" t="str">
        <x:f>IF(A19="","",IF(OR(J19="Declined",J19="Cancelled"),"Not applicable",IF(COUNTIFS('EMPLOYEES'!$C$11:$C$60,D19,'EMPLOYEES'!$F$11:$F$60,"Active")-COUNTIFS($D$11:$D$90,D19,$F$11:$F$90,"&lt;="&amp;F19,$G$11:$G$90,"&gt;="&amp;F19,$J$11:$J$90,"Approved")-IF(J19="Pending",1,0)&lt;IFERROR(INDEX('SETUP'!$K$19:$K$23,MATCH(D19,'SETUP'!$J$19:$J$23,0)),0),"At Risk","Covered")))</x:f>
        <x:v>Covered</x:v>
      </x:c>
      <x:c r="P19" s="55" t="str">
        <x:f>IF(A19="","",IF(OR(B19="",C19="",E19="",F19="",G19="",H19="",J19="",G19&lt;F19,I19&lt;=0,COUNTIF($A$11:$A$90,A19)&gt;1),"ERROR","PASS"))</x:f>
        <x:v>PASS</x:v>
      </x:c>
      <x:c r="Q19" s="73" t="n">
        <x:f>IF(P19="ERROR",ROW()-10,IF(N19="Overlap",100+ROW()-10,IF(AND(O19="At Risk",OR(J19="Pending",AND(J19="Approved",F19&gt;='SETUP'!$D$13))),200+ROW()-10,IF(J19="Pending",300+ROW()-10,9999))))</x:f>
        <x:v>9999</x:v>
      </x:c>
      <x:c r="R19" s="4"/>
      <x:c r="S19" s="4"/>
      <x:c r="T19" s="4"/>
    </x:row>
    <x:row r="20">
      <x:c r="A20" s="26" t="str">
        <x:v>REQ-010</x:v>
      </x:c>
      <x:c r="B20" s="26" t="str">
        <x:v>EMP-002</x:v>
      </x:c>
      <x:c r="C20" s="55" t="str">
        <x:f>IF(B20="","",IFERROR(INDEX('EMPLOYEES'!$B$11:$B$60,MATCH(B20,'EMPLOYEES'!$A$11:$A$60,0)),""))</x:f>
        <x:v>Omar Haddad</x:v>
      </x:c>
      <x:c r="D20" s="55" t="str">
        <x:f>IF(B20="","",IFERROR(INDEX('EMPLOYEES'!$C$11:$C$60,MATCH(B20,'EMPLOYEES'!$A$11:$A$60,0)),""))</x:f>
        <x:v>Operations</x:v>
      </x:c>
      <x:c r="E20" s="26" t="str">
        <x:v>Annual Leave</x:v>
      </x:c>
      <x:c r="F20" s="28" t="d">
        <x:v>2026-11-16T00:00:00.000Z</x:v>
      </x:c>
      <x:c r="G20" s="28" t="d">
        <x:v>2026-11-18T00:00:00.000Z</x:v>
      </x:c>
      <x:c r="H20" s="29" t="n">
        <x:v>1</x:v>
      </x:c>
      <x:c r="I20" s="68" t="n">
        <x:f>IF(OR(F20="",G20="",H20=""),"",MAX(0,NETWORKDAYS(F20,G20)*H20))</x:f>
        <x:v>3</x:v>
      </x:c>
      <x:c r="J20" s="26" t="str">
        <x:v>Pending</x:v>
      </x:c>
      <x:c r="K20" s="26" t="str">
        <x:v>Leila Mansour</x:v>
      </x:c>
      <x:c r="L20" s="28"/>
      <x:c r="M20" s="26" t="str">
        <x:v>Planned break; decision pending</x:v>
      </x:c>
      <x:c r="N20" s="55" t="str">
        <x:f>IF(A20="","",IF(COUNTIFS($B$11:$B$90,B20,$F$11:$F$90,"&lt;="&amp;G20,$G$11:$G$90,"&gt;="&amp;F20,$J$11:$J$90,"&lt;&gt;Declined",$J$11:$J$90,"&lt;&gt;Cancelled")&gt;1,"Overlap","Clear"))</x:f>
        <x:v>Clear</x:v>
      </x:c>
      <x:c r="O20" s="55" t="str">
        <x:f>IF(A20="","",IF(OR(J20="Declined",J20="Cancelled"),"Not applicable",IF(COUNTIFS('EMPLOYEES'!$C$11:$C$60,D20,'EMPLOYEES'!$F$11:$F$60,"Active")-COUNTIFS($D$11:$D$90,D20,$F$11:$F$90,"&lt;="&amp;F20,$G$11:$G$90,"&gt;="&amp;F20,$J$11:$J$90,"Approved")-IF(J20="Pending",1,0)&lt;IFERROR(INDEX('SETUP'!$K$19:$K$23,MATCH(D20,'SETUP'!$J$19:$J$23,0)),0),"At Risk","Covered")))</x:f>
        <x:v>Covered</x:v>
      </x:c>
      <x:c r="P20" s="55" t="str">
        <x:f>IF(A20="","",IF(OR(B20="",C20="",E20="",F20="",G20="",H20="",J20="",G20&lt;F20,I20&lt;=0,COUNTIF($A$11:$A$90,A20)&gt;1),"ERROR","PASS"))</x:f>
        <x:v>PASS</x:v>
      </x:c>
      <x:c r="Q20" s="73" t="n">
        <x:f>IF(P20="ERROR",ROW()-10,IF(N20="Overlap",100+ROW()-10,IF(AND(O20="At Risk",OR(J20="Pending",AND(J20="Approved",F20&gt;='SETUP'!$D$13))),200+ROW()-10,IF(J20="Pending",300+ROW()-10,9999))))</x:f>
        <x:v>310</x:v>
      </x:c>
      <x:c r="R20" s="4"/>
      <x:c r="S20" s="4"/>
      <x:c r="T20" s="4"/>
    </x:row>
    <x:row r="21">
      <x:c r="A21" s="26" t="str">
        <x:v>REQ-011</x:v>
      </x:c>
      <x:c r="B21" s="26" t="str">
        <x:v>EMP-003</x:v>
      </x:c>
      <x:c r="C21" s="55" t="str">
        <x:f>IF(B21="","",IFERROR(INDEX('EMPLOYEES'!$B$11:$B$60,MATCH(B21,'EMPLOYEES'!$A$11:$A$60,0)),""))</x:f>
        <x:v>Sofia Alvarez</x:v>
      </x:c>
      <x:c r="D21" s="55" t="str">
        <x:f>IF(B21="","",IFERROR(INDEX('EMPLOYEES'!$C$11:$C$60,MATCH(B21,'EMPLOYEES'!$A$11:$A$60,0)),""))</x:f>
        <x:v>Sales</x:v>
      </x:c>
      <x:c r="E21" s="26" t="str">
        <x:v>Annual Leave</x:v>
      </x:c>
      <x:c r="F21" s="28" t="d">
        <x:v>2026-11-23T00:00:00.000Z</x:v>
      </x:c>
      <x:c r="G21" s="28" t="d">
        <x:v>2026-11-27T00:00:00.000Z</x:v>
      </x:c>
      <x:c r="H21" s="29" t="n">
        <x:v>1</x:v>
      </x:c>
      <x:c r="I21" s="68" t="n">
        <x:f>IF(OR(F21="",G21="",H21=""),"",MAX(0,NETWORKDAYS(F21,G21)*H21))</x:f>
        <x:v>5</x:v>
      </x:c>
      <x:c r="J21" s="26" t="str">
        <x:v>Pending</x:v>
      </x:c>
      <x:c r="K21" s="26" t="str">
        <x:v>Leila Mansour</x:v>
      </x:c>
      <x:c r="L21" s="28"/>
      <x:c r="M21" s="26" t="str">
        <x:v>Travel; pipeline handover drafted</x:v>
      </x:c>
      <x:c r="N21" s="55" t="str">
        <x:f>IF(A21="","",IF(COUNTIFS($B$11:$B$90,B21,$F$11:$F$90,"&lt;="&amp;G21,$G$11:$G$90,"&gt;="&amp;F21,$J$11:$J$90,"&lt;&gt;Declined",$J$11:$J$90,"&lt;&gt;Cancelled")&gt;1,"Overlap","Clear"))</x:f>
        <x:v>Clear</x:v>
      </x:c>
      <x:c r="O21" s="55" t="str">
        <x:f>IF(A21="","",IF(OR(J21="Declined",J21="Cancelled"),"Not applicable",IF(COUNTIFS('EMPLOYEES'!$C$11:$C$60,D21,'EMPLOYEES'!$F$11:$F$60,"Active")-COUNTIFS($D$11:$D$90,D21,$F$11:$F$90,"&lt;="&amp;F21,$G$11:$G$90,"&gt;="&amp;F21,$J$11:$J$90,"Approved")-IF(J21="Pending",1,0)&lt;IFERROR(INDEX('SETUP'!$K$19:$K$23,MATCH(D21,'SETUP'!$J$19:$J$23,0)),0),"At Risk","Covered")))</x:f>
        <x:v>Covered</x:v>
      </x:c>
      <x:c r="P21" s="55" t="str">
        <x:f>IF(A21="","",IF(OR(B21="",C21="",E21="",F21="",G21="",H21="",J21="",G21&lt;F21,I21&lt;=0,COUNTIF($A$11:$A$90,A21)&gt;1),"ERROR","PASS"))</x:f>
        <x:v>PASS</x:v>
      </x:c>
      <x:c r="Q21" s="73" t="n">
        <x:f>IF(P21="ERROR",ROW()-10,IF(N21="Overlap",100+ROW()-10,IF(AND(O21="At Risk",OR(J21="Pending",AND(J21="Approved",F21&gt;='SETUP'!$D$13))),200+ROW()-10,IF(J21="Pending",300+ROW()-10,9999))))</x:f>
        <x:v>311</x:v>
      </x:c>
      <x:c r="R21" s="4"/>
      <x:c r="S21" s="4"/>
      <x:c r="T21" s="4"/>
    </x:row>
    <x:row r="22">
      <x:c r="A22" s="26" t="str">
        <x:v>REQ-012</x:v>
      </x:c>
      <x:c r="B22" s="26" t="str">
        <x:v>EMP-006</x:v>
      </x:c>
      <x:c r="C22" s="55" t="str">
        <x:f>IF(B22="","",IFERROR(INDEX('EMPLOYEES'!$B$11:$B$60,MATCH(B22,'EMPLOYEES'!$A$11:$A$60,0)),""))</x:f>
        <x:v>Lucia Torres</x:v>
      </x:c>
      <x:c r="D22" s="55" t="str">
        <x:f>IF(B22="","",IFERROR(INDEX('EMPLOYEES'!$C$11:$C$60,MATCH(B22,'EMPLOYEES'!$A$11:$A$60,0)),""))</x:f>
        <x:v>Marketing</x:v>
      </x:c>
      <x:c r="E22" s="26" t="str">
        <x:v>Personal Leave</x:v>
      </x:c>
      <x:c r="F22" s="28" t="d">
        <x:v>2026-11-12T00:00:00.000Z</x:v>
      </x:c>
      <x:c r="G22" s="28" t="d">
        <x:v>2026-11-12T00:00:00.000Z</x:v>
      </x:c>
      <x:c r="H22" s="29" t="n">
        <x:v>0.5</x:v>
      </x:c>
      <x:c r="I22" s="68" t="n">
        <x:f>IF(OR(F22="",G22="",H22=""),"",MAX(0,NETWORKDAYS(F22,G22)*H22))</x:f>
        <x:v>0.5</x:v>
      </x:c>
      <x:c r="J22" s="26" t="str">
        <x:v>Pending</x:v>
      </x:c>
      <x:c r="K22" s="26" t="str">
        <x:v>Leila Mansour</x:v>
      </x:c>
      <x:c r="L22" s="28"/>
      <x:c r="M22" s="26" t="str">
        <x:v>Personal appointment</x:v>
      </x:c>
      <x:c r="N22" s="55" t="str">
        <x:f>IF(A22="","",IF(COUNTIFS($B$11:$B$90,B22,$F$11:$F$90,"&lt;="&amp;G22,$G$11:$G$90,"&gt;="&amp;F22,$J$11:$J$90,"&lt;&gt;Declined",$J$11:$J$90,"&lt;&gt;Cancelled")&gt;1,"Overlap","Clear"))</x:f>
        <x:v>Clear</x:v>
      </x:c>
      <x:c r="O22" s="55" t="str">
        <x:f>IF(A22="","",IF(OR(J22="Declined",J22="Cancelled"),"Not applicable",IF(COUNTIFS('EMPLOYEES'!$C$11:$C$60,D22,'EMPLOYEES'!$F$11:$F$60,"Active")-COUNTIFS($D$11:$D$90,D22,$F$11:$F$90,"&lt;="&amp;F22,$G$11:$G$90,"&gt;="&amp;F22,$J$11:$J$90,"Approved")-IF(J22="Pending",1,0)&lt;IFERROR(INDEX('SETUP'!$K$19:$K$23,MATCH(D22,'SETUP'!$J$19:$J$23,0)),0),"At Risk","Covered")))</x:f>
        <x:v>At Risk</x:v>
      </x:c>
      <x:c r="P22" s="55" t="str">
        <x:f>IF(A22="","",IF(OR(B22="",C22="",E22="",F22="",G22="",H22="",J22="",G22&lt;F22,I22&lt;=0,COUNTIF($A$11:$A$90,A22)&gt;1),"ERROR","PASS"))</x:f>
        <x:v>PASS</x:v>
      </x:c>
      <x:c r="Q22" s="73" t="n">
        <x:f>IF(P22="ERROR",ROW()-10,IF(N22="Overlap",100+ROW()-10,IF(AND(O22="At Risk",OR(J22="Pending",AND(J22="Approved",F22&gt;='SETUP'!$D$13))),200+ROW()-10,IF(J22="Pending",300+ROW()-10,9999))))</x:f>
        <x:v>212</x:v>
      </x:c>
      <x:c r="R22" s="4"/>
      <x:c r="S22" s="4"/>
      <x:c r="T22" s="4"/>
    </x:row>
    <x:row r="23">
      <x:c r="A23" s="26" t="str">
        <x:v>REQ-013</x:v>
      </x:c>
      <x:c r="B23" s="26" t="str">
        <x:v>EMP-004</x:v>
      </x:c>
      <x:c r="C23" s="55" t="str">
        <x:f>IF(B23="","",IFERROR(INDEX('EMPLOYEES'!$B$11:$B$60,MATCH(B23,'EMPLOYEES'!$A$11:$A$60,0)),""))</x:f>
        <x:v>Daniel Kim</x:v>
      </x:c>
      <x:c r="D23" s="55" t="str">
        <x:f>IF(B23="","",IFERROR(INDEX('EMPLOYEES'!$C$11:$C$60,MATCH(B23,'EMPLOYEES'!$A$11:$A$60,0)),""))</x:f>
        <x:v>Sales</x:v>
      </x:c>
      <x:c r="E23" s="26" t="str">
        <x:v>Annual Leave</x:v>
      </x:c>
      <x:c r="F23" s="28" t="d">
        <x:v>2026-12-21T00:00:00.000Z</x:v>
      </x:c>
      <x:c r="G23" s="28" t="d">
        <x:v>2026-12-24T00:00:00.000Z</x:v>
      </x:c>
      <x:c r="H23" s="29" t="n">
        <x:v>1</x:v>
      </x:c>
      <x:c r="I23" s="68" t="n">
        <x:f>IF(OR(F23="",G23="",H23=""),"",MAX(0,NETWORKDAYS(F23,G23)*H23))</x:f>
        <x:v>4</x:v>
      </x:c>
      <x:c r="J23" s="26" t="str">
        <x:v>Declined</x:v>
      </x:c>
      <x:c r="K23" s="26" t="str">
        <x:v>Sofia Alvarez</x:v>
      </x:c>
      <x:c r="L23" s="28" t="d">
        <x:v>2026-10-18T00:00:00.000Z</x:v>
      </x:c>
      <x:c r="M23" s="26" t="str">
        <x:v>Peak-period coverage unavailable</x:v>
      </x:c>
      <x:c r="N23" s="55" t="str">
        <x:f>IF(A23="","",IF(COUNTIFS($B$11:$B$90,B23,$F$11:$F$90,"&lt;="&amp;G23,$G$11:$G$90,"&gt;="&amp;F23,$J$11:$J$90,"&lt;&gt;Declined",$J$11:$J$90,"&lt;&gt;Cancelled")&gt;1,"Overlap","Clear"))</x:f>
        <x:v>Clear</x:v>
      </x:c>
      <x:c r="O23" s="55" t="str">
        <x:f>IF(A23="","",IF(OR(J23="Declined",J23="Cancelled"),"Not applicable",IF(COUNTIFS('EMPLOYEES'!$C$11:$C$60,D23,'EMPLOYEES'!$F$11:$F$60,"Active")-COUNTIFS($D$11:$D$90,D23,$F$11:$F$90,"&lt;="&amp;F23,$G$11:$G$90,"&gt;="&amp;F23,$J$11:$J$90,"Approved")-IF(J23="Pending",1,0)&lt;IFERROR(INDEX('SETUP'!$K$19:$K$23,MATCH(D23,'SETUP'!$J$19:$J$23,0)),0),"At Risk","Covered")))</x:f>
        <x:v>Not applicable</x:v>
      </x:c>
      <x:c r="P23" s="55" t="str">
        <x:f>IF(A23="","",IF(OR(B23="",C23="",E23="",F23="",G23="",H23="",J23="",G23&lt;F23,I23&lt;=0,COUNTIF($A$11:$A$90,A23)&gt;1),"ERROR","PASS"))</x:f>
        <x:v>PASS</x:v>
      </x:c>
      <x:c r="Q23" s="73" t="n">
        <x:f>IF(P23="ERROR",ROW()-10,IF(N23="Overlap",100+ROW()-10,IF(AND(O23="At Risk",OR(J23="Pending",AND(J23="Approved",F23&gt;='SETUP'!$D$13))),200+ROW()-10,IF(J23="Pending",300+ROW()-10,9999))))</x:f>
        <x:v>9999</x:v>
      </x:c>
      <x:c r="R23" s="4"/>
      <x:c r="S23" s="4"/>
      <x:c r="T23" s="4"/>
    </x:row>
    <x:row r="24">
      <x:c r="A24" s="26" t="str">
        <x:v>REQ-014</x:v>
      </x:c>
      <x:c r="B24" s="26" t="str">
        <x:v>EMP-008</x:v>
      </x:c>
      <x:c r="C24" s="55" t="str">
        <x:f>IF(B24="","",IFERROR(INDEX('EMPLOYEES'!$B$11:$B$60,MATCH(B24,'EMPLOYEES'!$A$11:$A$60,0)),""))</x:f>
        <x:v>Amelia Stone</x:v>
      </x:c>
      <x:c r="D24" s="55" t="str">
        <x:f>IF(B24="","",IFERROR(INDEX('EMPLOYEES'!$C$11:$C$60,MATCH(B24,'EMPLOYEES'!$A$11:$A$60,0)),""))</x:f>
        <x:v>Client Success</x:v>
      </x:c>
      <x:c r="E24" s="26" t="str">
        <x:v>Annual Leave</x:v>
      </x:c>
      <x:c r="F24" s="28" t="d">
        <x:v>2026-12-28T00:00:00.000Z</x:v>
      </x:c>
      <x:c r="G24" s="28" t="d">
        <x:v>2026-12-31T00:00:00.000Z</x:v>
      </x:c>
      <x:c r="H24" s="29" t="n">
        <x:v>1</x:v>
      </x:c>
      <x:c r="I24" s="68" t="n">
        <x:f>IF(OR(F24="",G24="",H24=""),"",MAX(0,NETWORKDAYS(F24,G24)*H24))</x:f>
        <x:v>4</x:v>
      </x:c>
      <x:c r="J24" s="26" t="str">
        <x:v>Cancelled</x:v>
      </x:c>
      <x:c r="K24" s="26" t="str">
        <x:v>Yusuf Karim</x:v>
      </x:c>
      <x:c r="L24" s="28" t="d">
        <x:v>2026-10-22T00:00:00.000Z</x:v>
      </x:c>
      <x:c r="M24" s="26" t="str">
        <x:v>Cancelled by employee</x:v>
      </x:c>
      <x:c r="N24" s="55" t="str">
        <x:f>IF(A24="","",IF(COUNTIFS($B$11:$B$90,B24,$F$11:$F$90,"&lt;="&amp;G24,$G$11:$G$90,"&gt;="&amp;F24,$J$11:$J$90,"&lt;&gt;Declined",$J$11:$J$90,"&lt;&gt;Cancelled")&gt;1,"Overlap","Clear"))</x:f>
        <x:v>Clear</x:v>
      </x:c>
      <x:c r="O24" s="55" t="str">
        <x:f>IF(A24="","",IF(OR(J24="Declined",J24="Cancelled"),"Not applicable",IF(COUNTIFS('EMPLOYEES'!$C$11:$C$60,D24,'EMPLOYEES'!$F$11:$F$60,"Active")-COUNTIFS($D$11:$D$90,D24,$F$11:$F$90,"&lt;="&amp;F24,$G$11:$G$90,"&gt;="&amp;F24,$J$11:$J$90,"Approved")-IF(J24="Pending",1,0)&lt;IFERROR(INDEX('SETUP'!$K$19:$K$23,MATCH(D24,'SETUP'!$J$19:$J$23,0)),0),"At Risk","Covered")))</x:f>
        <x:v>Not applicable</x:v>
      </x:c>
      <x:c r="P24" s="55" t="str">
        <x:f>IF(A24="","",IF(OR(B24="",C24="",E24="",F24="",G24="",H24="",J24="",G24&lt;F24,I24&lt;=0,COUNTIF($A$11:$A$90,A24)&gt;1),"ERROR","PASS"))</x:f>
        <x:v>PASS</x:v>
      </x:c>
      <x:c r="Q24" s="73" t="n">
        <x:f>IF(P24="ERROR",ROW()-10,IF(N24="Overlap",100+ROW()-10,IF(AND(O24="At Risk",OR(J24="Pending",AND(J24="Approved",F24&gt;='SETUP'!$D$13))),200+ROW()-10,IF(J24="Pending",300+ROW()-10,9999))))</x:f>
        <x:v>9999</x:v>
      </x:c>
      <x:c r="R24" s="4"/>
      <x:c r="S24" s="4"/>
      <x:c r="T24" s="4"/>
    </x:row>
    <x:row r="25">
      <x:c r="A25" s="26"/>
      <x:c r="B25" s="26"/>
      <x:c r="C25" s="55" t="str">
        <x:f>IF(B25="","",IFERROR(INDEX('EMPLOYEES'!$B$11:$B$60,MATCH(B25,'EMPLOYEES'!$A$11:$A$60,0)),""))</x:f>
      </x:c>
      <x:c r="D25" s="55" t="str">
        <x:f>IF(B25="","",IFERROR(INDEX('EMPLOYEES'!$C$11:$C$60,MATCH(B25,'EMPLOYEES'!$A$11:$A$60,0)),""))</x:f>
      </x:c>
      <x:c r="E25" s="26"/>
      <x:c r="F25" s="28"/>
      <x:c r="G25" s="28"/>
      <x:c r="H25" s="29"/>
      <x:c r="I25" s="68" t="str">
        <x:f>IF(OR(F25="",G25="",H25=""),"",MAX(0,NETWORKDAYS(F25,G25)*H25))</x:f>
      </x:c>
      <x:c r="J25" s="26"/>
      <x:c r="K25" s="26"/>
      <x:c r="L25" s="28"/>
      <x:c r="M25" s="26"/>
      <x:c r="N25" s="55" t="str">
        <x:f>IF(A25="","",IF(COUNTIFS($B$11:$B$90,B25,$F$11:$F$90,"&lt;="&amp;G25,$G$11:$G$90,"&gt;="&amp;F25,$J$11:$J$90,"&lt;&gt;Declined",$J$11:$J$90,"&lt;&gt;Cancelled")&gt;1,"Overlap","Clear"))</x:f>
      </x:c>
      <x:c r="O25" s="55" t="str">
        <x:f>IF(A25="","",IF(OR(J25="Declined",J25="Cancelled"),"Not applicable",IF(COUNTIFS('EMPLOYEES'!$C$11:$C$60,D25,'EMPLOYEES'!$F$11:$F$60,"Active")-COUNTIFS($D$11:$D$90,D25,$F$11:$F$90,"&lt;="&amp;F25,$G$11:$G$90,"&gt;="&amp;F25,$J$11:$J$90,"Approved")-IF(J25="Pending",1,0)&lt;IFERROR(INDEX('SETUP'!$K$19:$K$23,MATCH(D25,'SETUP'!$J$19:$J$23,0)),0),"At Risk","Covered")))</x:f>
      </x:c>
      <x:c r="P25" s="55" t="str">
        <x:f>IF(A25="","",IF(OR(B25="",C25="",E25="",F25="",G25="",H25="",J25="",G25&lt;F25,I25&lt;=0,COUNTIF($A$11:$A$90,A25)&gt;1),"ERROR","PASS"))</x:f>
      </x:c>
      <x:c r="Q25" s="73" t="n">
        <x:f>IF(P25="ERROR",ROW()-10,IF(N25="Overlap",100+ROW()-10,IF(AND(O25="At Risk",OR(J25="Pending",AND(J25="Approved",F25&gt;='SETUP'!$D$13))),200+ROW()-10,IF(J25="Pending",300+ROW()-10,9999))))</x:f>
        <x:v>9999</x:v>
      </x:c>
      <x:c r="R25" s="4"/>
      <x:c r="S25" s="4"/>
      <x:c r="T25" s="4"/>
    </x:row>
    <x:row r="26">
      <x:c r="A26" s="26"/>
      <x:c r="B26" s="26"/>
      <x:c r="C26" s="55" t="str">
        <x:f>IF(B26="","",IFERROR(INDEX('EMPLOYEES'!$B$11:$B$60,MATCH(B26,'EMPLOYEES'!$A$11:$A$60,0)),""))</x:f>
      </x:c>
      <x:c r="D26" s="55" t="str">
        <x:f>IF(B26="","",IFERROR(INDEX('EMPLOYEES'!$C$11:$C$60,MATCH(B26,'EMPLOYEES'!$A$11:$A$60,0)),""))</x:f>
      </x:c>
      <x:c r="E26" s="26"/>
      <x:c r="F26" s="28"/>
      <x:c r="G26" s="28"/>
      <x:c r="H26" s="29"/>
      <x:c r="I26" s="68" t="str">
        <x:f>IF(OR(F26="",G26="",H26=""),"",MAX(0,NETWORKDAYS(F26,G26)*H26))</x:f>
      </x:c>
      <x:c r="J26" s="26"/>
      <x:c r="K26" s="26"/>
      <x:c r="L26" s="28"/>
      <x:c r="M26" s="26"/>
      <x:c r="N26" s="55" t="str">
        <x:f>IF(A26="","",IF(COUNTIFS($B$11:$B$90,B26,$F$11:$F$90,"&lt;="&amp;G26,$G$11:$G$90,"&gt;="&amp;F26,$J$11:$J$90,"&lt;&gt;Declined",$J$11:$J$90,"&lt;&gt;Cancelled")&gt;1,"Overlap","Clear"))</x:f>
      </x:c>
      <x:c r="O26" s="55" t="str">
        <x:f>IF(A26="","",IF(OR(J26="Declined",J26="Cancelled"),"Not applicable",IF(COUNTIFS('EMPLOYEES'!$C$11:$C$60,D26,'EMPLOYEES'!$F$11:$F$60,"Active")-COUNTIFS($D$11:$D$90,D26,$F$11:$F$90,"&lt;="&amp;F26,$G$11:$G$90,"&gt;="&amp;F26,$J$11:$J$90,"Approved")-IF(J26="Pending",1,0)&lt;IFERROR(INDEX('SETUP'!$K$19:$K$23,MATCH(D26,'SETUP'!$J$19:$J$23,0)),0),"At Risk","Covered")))</x:f>
      </x:c>
      <x:c r="P26" s="55" t="str">
        <x:f>IF(A26="","",IF(OR(B26="",C26="",E26="",F26="",G26="",H26="",J26="",G26&lt;F26,I26&lt;=0,COUNTIF($A$11:$A$90,A26)&gt;1),"ERROR","PASS"))</x:f>
      </x:c>
      <x:c r="Q26" s="73" t="n">
        <x:f>IF(P26="ERROR",ROW()-10,IF(N26="Overlap",100+ROW()-10,IF(AND(O26="At Risk",OR(J26="Pending",AND(J26="Approved",F26&gt;='SETUP'!$D$13))),200+ROW()-10,IF(J26="Pending",300+ROW()-10,9999))))</x:f>
        <x:v>9999</x:v>
      </x:c>
      <x:c r="R26" s="4"/>
      <x:c r="S26" s="4"/>
      <x:c r="T26" s="4"/>
    </x:row>
    <x:row r="27">
      <x:c r="A27" s="26"/>
      <x:c r="B27" s="26"/>
      <x:c r="C27" s="55" t="str">
        <x:f>IF(B27="","",IFERROR(INDEX('EMPLOYEES'!$B$11:$B$60,MATCH(B27,'EMPLOYEES'!$A$11:$A$60,0)),""))</x:f>
      </x:c>
      <x:c r="D27" s="55" t="str">
        <x:f>IF(B27="","",IFERROR(INDEX('EMPLOYEES'!$C$11:$C$60,MATCH(B27,'EMPLOYEES'!$A$11:$A$60,0)),""))</x:f>
      </x:c>
      <x:c r="E27" s="26"/>
      <x:c r="F27" s="28"/>
      <x:c r="G27" s="28"/>
      <x:c r="H27" s="29"/>
      <x:c r="I27" s="68" t="str">
        <x:f>IF(OR(F27="",G27="",H27=""),"",MAX(0,NETWORKDAYS(F27,G27)*H27))</x:f>
      </x:c>
      <x:c r="J27" s="26"/>
      <x:c r="K27" s="26"/>
      <x:c r="L27" s="28"/>
      <x:c r="M27" s="26"/>
      <x:c r="N27" s="55" t="str">
        <x:f>IF(A27="","",IF(COUNTIFS($B$11:$B$90,B27,$F$11:$F$90,"&lt;="&amp;G27,$G$11:$G$90,"&gt;="&amp;F27,$J$11:$J$90,"&lt;&gt;Declined",$J$11:$J$90,"&lt;&gt;Cancelled")&gt;1,"Overlap","Clear"))</x:f>
      </x:c>
      <x:c r="O27" s="55" t="str">
        <x:f>IF(A27="","",IF(OR(J27="Declined",J27="Cancelled"),"Not applicable",IF(COUNTIFS('EMPLOYEES'!$C$11:$C$60,D27,'EMPLOYEES'!$F$11:$F$60,"Active")-COUNTIFS($D$11:$D$90,D27,$F$11:$F$90,"&lt;="&amp;F27,$G$11:$G$90,"&gt;="&amp;F27,$J$11:$J$90,"Approved")-IF(J27="Pending",1,0)&lt;IFERROR(INDEX('SETUP'!$K$19:$K$23,MATCH(D27,'SETUP'!$J$19:$J$23,0)),0),"At Risk","Covered")))</x:f>
      </x:c>
      <x:c r="P27" s="55" t="str">
        <x:f>IF(A27="","",IF(OR(B27="",C27="",E27="",F27="",G27="",H27="",J27="",G27&lt;F27,I27&lt;=0,COUNTIF($A$11:$A$90,A27)&gt;1),"ERROR","PASS"))</x:f>
      </x:c>
      <x:c r="Q27" s="73" t="n">
        <x:f>IF(P27="ERROR",ROW()-10,IF(N27="Overlap",100+ROW()-10,IF(AND(O27="At Risk",OR(J27="Pending",AND(J27="Approved",F27&gt;='SETUP'!$D$13))),200+ROW()-10,IF(J27="Pending",300+ROW()-10,9999))))</x:f>
        <x:v>9999</x:v>
      </x:c>
      <x:c r="R27" s="4"/>
      <x:c r="S27" s="4"/>
      <x:c r="T27" s="4"/>
    </x:row>
    <x:row r="28">
      <x:c r="A28" s="26"/>
      <x:c r="B28" s="26"/>
      <x:c r="C28" s="55" t="str">
        <x:f>IF(B28="","",IFERROR(INDEX('EMPLOYEES'!$B$11:$B$60,MATCH(B28,'EMPLOYEES'!$A$11:$A$60,0)),""))</x:f>
      </x:c>
      <x:c r="D28" s="55" t="str">
        <x:f>IF(B28="","",IFERROR(INDEX('EMPLOYEES'!$C$11:$C$60,MATCH(B28,'EMPLOYEES'!$A$11:$A$60,0)),""))</x:f>
      </x:c>
      <x:c r="E28" s="26"/>
      <x:c r="F28" s="28"/>
      <x:c r="G28" s="28"/>
      <x:c r="H28" s="29"/>
      <x:c r="I28" s="68" t="str">
        <x:f>IF(OR(F28="",G28="",H28=""),"",MAX(0,NETWORKDAYS(F28,G28)*H28))</x:f>
      </x:c>
      <x:c r="J28" s="26"/>
      <x:c r="K28" s="26"/>
      <x:c r="L28" s="28"/>
      <x:c r="M28" s="26"/>
      <x:c r="N28" s="55" t="str">
        <x:f>IF(A28="","",IF(COUNTIFS($B$11:$B$90,B28,$F$11:$F$90,"&lt;="&amp;G28,$G$11:$G$90,"&gt;="&amp;F28,$J$11:$J$90,"&lt;&gt;Declined",$J$11:$J$90,"&lt;&gt;Cancelled")&gt;1,"Overlap","Clear"))</x:f>
      </x:c>
      <x:c r="O28" s="55" t="str">
        <x:f>IF(A28="","",IF(OR(J28="Declined",J28="Cancelled"),"Not applicable",IF(COUNTIFS('EMPLOYEES'!$C$11:$C$60,D28,'EMPLOYEES'!$F$11:$F$60,"Active")-COUNTIFS($D$11:$D$90,D28,$F$11:$F$90,"&lt;="&amp;F28,$G$11:$G$90,"&gt;="&amp;F28,$J$11:$J$90,"Approved")-IF(J28="Pending",1,0)&lt;IFERROR(INDEX('SETUP'!$K$19:$K$23,MATCH(D28,'SETUP'!$J$19:$J$23,0)),0),"At Risk","Covered")))</x:f>
      </x:c>
      <x:c r="P28" s="55" t="str">
        <x:f>IF(A28="","",IF(OR(B28="",C28="",E28="",F28="",G28="",H28="",J28="",G28&lt;F28,I28&lt;=0,COUNTIF($A$11:$A$90,A28)&gt;1),"ERROR","PASS"))</x:f>
      </x:c>
      <x:c r="Q28" s="73" t="n">
        <x:f>IF(P28="ERROR",ROW()-10,IF(N28="Overlap",100+ROW()-10,IF(AND(O28="At Risk",OR(J28="Pending",AND(J28="Approved",F28&gt;='SETUP'!$D$13))),200+ROW()-10,IF(J28="Pending",300+ROW()-10,9999))))</x:f>
        <x:v>9999</x:v>
      </x:c>
      <x:c r="R28" s="4"/>
      <x:c r="S28" s="4"/>
      <x:c r="T28" s="4"/>
    </x:row>
    <x:row r="29">
      <x:c r="A29" s="26"/>
      <x:c r="B29" s="26"/>
      <x:c r="C29" s="55" t="str">
        <x:f>IF(B29="","",IFERROR(INDEX('EMPLOYEES'!$B$11:$B$60,MATCH(B29,'EMPLOYEES'!$A$11:$A$60,0)),""))</x:f>
      </x:c>
      <x:c r="D29" s="55" t="str">
        <x:f>IF(B29="","",IFERROR(INDEX('EMPLOYEES'!$C$11:$C$60,MATCH(B29,'EMPLOYEES'!$A$11:$A$60,0)),""))</x:f>
      </x:c>
      <x:c r="E29" s="26"/>
      <x:c r="F29" s="28"/>
      <x:c r="G29" s="28"/>
      <x:c r="H29" s="29"/>
      <x:c r="I29" s="68" t="str">
        <x:f>IF(OR(F29="",G29="",H29=""),"",MAX(0,NETWORKDAYS(F29,G29)*H29))</x:f>
      </x:c>
      <x:c r="J29" s="26"/>
      <x:c r="K29" s="26"/>
      <x:c r="L29" s="28"/>
      <x:c r="M29" s="26"/>
      <x:c r="N29" s="55" t="str">
        <x:f>IF(A29="","",IF(COUNTIFS($B$11:$B$90,B29,$F$11:$F$90,"&lt;="&amp;G29,$G$11:$G$90,"&gt;="&amp;F29,$J$11:$J$90,"&lt;&gt;Declined",$J$11:$J$90,"&lt;&gt;Cancelled")&gt;1,"Overlap","Clear"))</x:f>
      </x:c>
      <x:c r="O29" s="55" t="str">
        <x:f>IF(A29="","",IF(OR(J29="Declined",J29="Cancelled"),"Not applicable",IF(COUNTIFS('EMPLOYEES'!$C$11:$C$60,D29,'EMPLOYEES'!$F$11:$F$60,"Active")-COUNTIFS($D$11:$D$90,D29,$F$11:$F$90,"&lt;="&amp;F29,$G$11:$G$90,"&gt;="&amp;F29,$J$11:$J$90,"Approved")-IF(J29="Pending",1,0)&lt;IFERROR(INDEX('SETUP'!$K$19:$K$23,MATCH(D29,'SETUP'!$J$19:$J$23,0)),0),"At Risk","Covered")))</x:f>
      </x:c>
      <x:c r="P29" s="55" t="str">
        <x:f>IF(A29="","",IF(OR(B29="",C29="",E29="",F29="",G29="",H29="",J29="",G29&lt;F29,I29&lt;=0,COUNTIF($A$11:$A$90,A29)&gt;1),"ERROR","PASS"))</x:f>
      </x:c>
      <x:c r="Q29" s="73" t="n">
        <x:f>IF(P29="ERROR",ROW()-10,IF(N29="Overlap",100+ROW()-10,IF(AND(O29="At Risk",OR(J29="Pending",AND(J29="Approved",F29&gt;='SETUP'!$D$13))),200+ROW()-10,IF(J29="Pending",300+ROW()-10,9999))))</x:f>
        <x:v>9999</x:v>
      </x:c>
      <x:c r="R29" s="4"/>
      <x:c r="S29" s="4"/>
      <x:c r="T29" s="4"/>
    </x:row>
    <x:row r="30">
      <x:c r="A30" s="26"/>
      <x:c r="B30" s="26"/>
      <x:c r="C30" s="55" t="str">
        <x:f>IF(B30="","",IFERROR(INDEX('EMPLOYEES'!$B$11:$B$60,MATCH(B30,'EMPLOYEES'!$A$11:$A$60,0)),""))</x:f>
      </x:c>
      <x:c r="D30" s="55" t="str">
        <x:f>IF(B30="","",IFERROR(INDEX('EMPLOYEES'!$C$11:$C$60,MATCH(B30,'EMPLOYEES'!$A$11:$A$60,0)),""))</x:f>
      </x:c>
      <x:c r="E30" s="26"/>
      <x:c r="F30" s="28"/>
      <x:c r="G30" s="28"/>
      <x:c r="H30" s="29"/>
      <x:c r="I30" s="68" t="str">
        <x:f>IF(OR(F30="",G30="",H30=""),"",MAX(0,NETWORKDAYS(F30,G30)*H30))</x:f>
      </x:c>
      <x:c r="J30" s="26"/>
      <x:c r="K30" s="26"/>
      <x:c r="L30" s="28"/>
      <x:c r="M30" s="26"/>
      <x:c r="N30" s="55" t="str">
        <x:f>IF(A30="","",IF(COUNTIFS($B$11:$B$90,B30,$F$11:$F$90,"&lt;="&amp;G30,$G$11:$G$90,"&gt;="&amp;F30,$J$11:$J$90,"&lt;&gt;Declined",$J$11:$J$90,"&lt;&gt;Cancelled")&gt;1,"Overlap","Clear"))</x:f>
      </x:c>
      <x:c r="O30" s="55" t="str">
        <x:f>IF(A30="","",IF(OR(J30="Declined",J30="Cancelled"),"Not applicable",IF(COUNTIFS('EMPLOYEES'!$C$11:$C$60,D30,'EMPLOYEES'!$F$11:$F$60,"Active")-COUNTIFS($D$11:$D$90,D30,$F$11:$F$90,"&lt;="&amp;F30,$G$11:$G$90,"&gt;="&amp;F30,$J$11:$J$90,"Approved")-IF(J30="Pending",1,0)&lt;IFERROR(INDEX('SETUP'!$K$19:$K$23,MATCH(D30,'SETUP'!$J$19:$J$23,0)),0),"At Risk","Covered")))</x:f>
      </x:c>
      <x:c r="P30" s="55" t="str">
        <x:f>IF(A30="","",IF(OR(B30="",C30="",E30="",F30="",G30="",H30="",J30="",G30&lt;F30,I30&lt;=0,COUNTIF($A$11:$A$90,A30)&gt;1),"ERROR","PASS"))</x:f>
      </x:c>
      <x:c r="Q30" s="73" t="n">
        <x:f>IF(P30="ERROR",ROW()-10,IF(N30="Overlap",100+ROW()-10,IF(AND(O30="At Risk",OR(J30="Pending",AND(J30="Approved",F30&gt;='SETUP'!$D$13))),200+ROW()-10,IF(J30="Pending",300+ROW()-10,9999))))</x:f>
        <x:v>9999</x:v>
      </x:c>
      <x:c r="R30" s="4"/>
      <x:c r="S30" s="4"/>
      <x:c r="T30" s="4"/>
    </x:row>
    <x:row r="31">
      <x:c r="A31" s="26"/>
      <x:c r="B31" s="26"/>
      <x:c r="C31" s="55" t="str">
        <x:f>IF(B31="","",IFERROR(INDEX('EMPLOYEES'!$B$11:$B$60,MATCH(B31,'EMPLOYEES'!$A$11:$A$60,0)),""))</x:f>
      </x:c>
      <x:c r="D31" s="55" t="str">
        <x:f>IF(B31="","",IFERROR(INDEX('EMPLOYEES'!$C$11:$C$60,MATCH(B31,'EMPLOYEES'!$A$11:$A$60,0)),""))</x:f>
      </x:c>
      <x:c r="E31" s="26"/>
      <x:c r="F31" s="28"/>
      <x:c r="G31" s="28"/>
      <x:c r="H31" s="29"/>
      <x:c r="I31" s="68" t="str">
        <x:f>IF(OR(F31="",G31="",H31=""),"",MAX(0,NETWORKDAYS(F31,G31)*H31))</x:f>
      </x:c>
      <x:c r="J31" s="26"/>
      <x:c r="K31" s="26"/>
      <x:c r="L31" s="28"/>
      <x:c r="M31" s="26"/>
      <x:c r="N31" s="55" t="str">
        <x:f>IF(A31="","",IF(COUNTIFS($B$11:$B$90,B31,$F$11:$F$90,"&lt;="&amp;G31,$G$11:$G$90,"&gt;="&amp;F31,$J$11:$J$90,"&lt;&gt;Declined",$J$11:$J$90,"&lt;&gt;Cancelled")&gt;1,"Overlap","Clear"))</x:f>
      </x:c>
      <x:c r="O31" s="55" t="str">
        <x:f>IF(A31="","",IF(OR(J31="Declined",J31="Cancelled"),"Not applicable",IF(COUNTIFS('EMPLOYEES'!$C$11:$C$60,D31,'EMPLOYEES'!$F$11:$F$60,"Active")-COUNTIFS($D$11:$D$90,D31,$F$11:$F$90,"&lt;="&amp;F31,$G$11:$G$90,"&gt;="&amp;F31,$J$11:$J$90,"Approved")-IF(J31="Pending",1,0)&lt;IFERROR(INDEX('SETUP'!$K$19:$K$23,MATCH(D31,'SETUP'!$J$19:$J$23,0)),0),"At Risk","Covered")))</x:f>
      </x:c>
      <x:c r="P31" s="55" t="str">
        <x:f>IF(A31="","",IF(OR(B31="",C31="",E31="",F31="",G31="",H31="",J31="",G31&lt;F31,I31&lt;=0,COUNTIF($A$11:$A$90,A31)&gt;1),"ERROR","PASS"))</x:f>
      </x:c>
      <x:c r="Q31" s="73" t="n">
        <x:f>IF(P31="ERROR",ROW()-10,IF(N31="Overlap",100+ROW()-10,IF(AND(O31="At Risk",OR(J31="Pending",AND(J31="Approved",F31&gt;='SETUP'!$D$13))),200+ROW()-10,IF(J31="Pending",300+ROW()-10,9999))))</x:f>
        <x:v>9999</x:v>
      </x:c>
      <x:c r="R31" s="4"/>
      <x:c r="S31" s="4"/>
      <x:c r="T31" s="4"/>
    </x:row>
    <x:row r="32">
      <x:c r="A32" s="26"/>
      <x:c r="B32" s="26"/>
      <x:c r="C32" s="55" t="str">
        <x:f>IF(B32="","",IFERROR(INDEX('EMPLOYEES'!$B$11:$B$60,MATCH(B32,'EMPLOYEES'!$A$11:$A$60,0)),""))</x:f>
      </x:c>
      <x:c r="D32" s="55" t="str">
        <x:f>IF(B32="","",IFERROR(INDEX('EMPLOYEES'!$C$11:$C$60,MATCH(B32,'EMPLOYEES'!$A$11:$A$60,0)),""))</x:f>
      </x:c>
      <x:c r="E32" s="26"/>
      <x:c r="F32" s="28"/>
      <x:c r="G32" s="28"/>
      <x:c r="H32" s="29"/>
      <x:c r="I32" s="68" t="str">
        <x:f>IF(OR(F32="",G32="",H32=""),"",MAX(0,NETWORKDAYS(F32,G32)*H32))</x:f>
      </x:c>
      <x:c r="J32" s="26"/>
      <x:c r="K32" s="26"/>
      <x:c r="L32" s="28"/>
      <x:c r="M32" s="26"/>
      <x:c r="N32" s="55" t="str">
        <x:f>IF(A32="","",IF(COUNTIFS($B$11:$B$90,B32,$F$11:$F$90,"&lt;="&amp;G32,$G$11:$G$90,"&gt;="&amp;F32,$J$11:$J$90,"&lt;&gt;Declined",$J$11:$J$90,"&lt;&gt;Cancelled")&gt;1,"Overlap","Clear"))</x:f>
      </x:c>
      <x:c r="O32" s="55" t="str">
        <x:f>IF(A32="","",IF(OR(J32="Declined",J32="Cancelled"),"Not applicable",IF(COUNTIFS('EMPLOYEES'!$C$11:$C$60,D32,'EMPLOYEES'!$F$11:$F$60,"Active")-COUNTIFS($D$11:$D$90,D32,$F$11:$F$90,"&lt;="&amp;F32,$G$11:$G$90,"&gt;="&amp;F32,$J$11:$J$90,"Approved")-IF(J32="Pending",1,0)&lt;IFERROR(INDEX('SETUP'!$K$19:$K$23,MATCH(D32,'SETUP'!$J$19:$J$23,0)),0),"At Risk","Covered")))</x:f>
      </x:c>
      <x:c r="P32" s="55" t="str">
        <x:f>IF(A32="","",IF(OR(B32="",C32="",E32="",F32="",G32="",H32="",J32="",G32&lt;F32,I32&lt;=0,COUNTIF($A$11:$A$90,A32)&gt;1),"ERROR","PASS"))</x:f>
      </x:c>
      <x:c r="Q32" s="73" t="n">
        <x:f>IF(P32="ERROR",ROW()-10,IF(N32="Overlap",100+ROW()-10,IF(AND(O32="At Risk",OR(J32="Pending",AND(J32="Approved",F32&gt;='SETUP'!$D$13))),200+ROW()-10,IF(J32="Pending",300+ROW()-10,9999))))</x:f>
        <x:v>9999</x:v>
      </x:c>
      <x:c r="R32" s="4"/>
      <x:c r="S32" s="4"/>
      <x:c r="T32" s="4"/>
    </x:row>
    <x:row r="33">
      <x:c r="A33" s="26"/>
      <x:c r="B33" s="26"/>
      <x:c r="C33" s="55" t="str">
        <x:f>IF(B33="","",IFERROR(INDEX('EMPLOYEES'!$B$11:$B$60,MATCH(B33,'EMPLOYEES'!$A$11:$A$60,0)),""))</x:f>
      </x:c>
      <x:c r="D33" s="55" t="str">
        <x:f>IF(B33="","",IFERROR(INDEX('EMPLOYEES'!$C$11:$C$60,MATCH(B33,'EMPLOYEES'!$A$11:$A$60,0)),""))</x:f>
      </x:c>
      <x:c r="E33" s="26"/>
      <x:c r="F33" s="28"/>
      <x:c r="G33" s="28"/>
      <x:c r="H33" s="29"/>
      <x:c r="I33" s="68" t="str">
        <x:f>IF(OR(F33="",G33="",H33=""),"",MAX(0,NETWORKDAYS(F33,G33)*H33))</x:f>
      </x:c>
      <x:c r="J33" s="26"/>
      <x:c r="K33" s="26"/>
      <x:c r="L33" s="28"/>
      <x:c r="M33" s="26"/>
      <x:c r="N33" s="55" t="str">
        <x:f>IF(A33="","",IF(COUNTIFS($B$11:$B$90,B33,$F$11:$F$90,"&lt;="&amp;G33,$G$11:$G$90,"&gt;="&amp;F33,$J$11:$J$90,"&lt;&gt;Declined",$J$11:$J$90,"&lt;&gt;Cancelled")&gt;1,"Overlap","Clear"))</x:f>
      </x:c>
      <x:c r="O33" s="55" t="str">
        <x:f>IF(A33="","",IF(OR(J33="Declined",J33="Cancelled"),"Not applicable",IF(COUNTIFS('EMPLOYEES'!$C$11:$C$60,D33,'EMPLOYEES'!$F$11:$F$60,"Active")-COUNTIFS($D$11:$D$90,D33,$F$11:$F$90,"&lt;="&amp;F33,$G$11:$G$90,"&gt;="&amp;F33,$J$11:$J$90,"Approved")-IF(J33="Pending",1,0)&lt;IFERROR(INDEX('SETUP'!$K$19:$K$23,MATCH(D33,'SETUP'!$J$19:$J$23,0)),0),"At Risk","Covered")))</x:f>
      </x:c>
      <x:c r="P33" s="55" t="str">
        <x:f>IF(A33="","",IF(OR(B33="",C33="",E33="",F33="",G33="",H33="",J33="",G33&lt;F33,I33&lt;=0,COUNTIF($A$11:$A$90,A33)&gt;1),"ERROR","PASS"))</x:f>
      </x:c>
      <x:c r="Q33" s="73" t="n">
        <x:f>IF(P33="ERROR",ROW()-10,IF(N33="Overlap",100+ROW()-10,IF(AND(O33="At Risk",OR(J33="Pending",AND(J33="Approved",F33&gt;='SETUP'!$D$13))),200+ROW()-10,IF(J33="Pending",300+ROW()-10,9999))))</x:f>
        <x:v>9999</x:v>
      </x:c>
      <x:c r="R33" s="4"/>
      <x:c r="S33" s="4"/>
      <x:c r="T33" s="4"/>
    </x:row>
    <x:row r="34">
      <x:c r="A34" s="26"/>
      <x:c r="B34" s="26"/>
      <x:c r="C34" s="55" t="str">
        <x:f>IF(B34="","",IFERROR(INDEX('EMPLOYEES'!$B$11:$B$60,MATCH(B34,'EMPLOYEES'!$A$11:$A$60,0)),""))</x:f>
      </x:c>
      <x:c r="D34" s="55" t="str">
        <x:f>IF(B34="","",IFERROR(INDEX('EMPLOYEES'!$C$11:$C$60,MATCH(B34,'EMPLOYEES'!$A$11:$A$60,0)),""))</x:f>
      </x:c>
      <x:c r="E34" s="26"/>
      <x:c r="F34" s="28"/>
      <x:c r="G34" s="28"/>
      <x:c r="H34" s="29"/>
      <x:c r="I34" s="68" t="str">
        <x:f>IF(OR(F34="",G34="",H34=""),"",MAX(0,NETWORKDAYS(F34,G34)*H34))</x:f>
      </x:c>
      <x:c r="J34" s="26"/>
      <x:c r="K34" s="26"/>
      <x:c r="L34" s="28"/>
      <x:c r="M34" s="26"/>
      <x:c r="N34" s="55" t="str">
        <x:f>IF(A34="","",IF(COUNTIFS($B$11:$B$90,B34,$F$11:$F$90,"&lt;="&amp;G34,$G$11:$G$90,"&gt;="&amp;F34,$J$11:$J$90,"&lt;&gt;Declined",$J$11:$J$90,"&lt;&gt;Cancelled")&gt;1,"Overlap","Clear"))</x:f>
      </x:c>
      <x:c r="O34" s="55" t="str">
        <x:f>IF(A34="","",IF(OR(J34="Declined",J34="Cancelled"),"Not applicable",IF(COUNTIFS('EMPLOYEES'!$C$11:$C$60,D34,'EMPLOYEES'!$F$11:$F$60,"Active")-COUNTIFS($D$11:$D$90,D34,$F$11:$F$90,"&lt;="&amp;F34,$G$11:$G$90,"&gt;="&amp;F34,$J$11:$J$90,"Approved")-IF(J34="Pending",1,0)&lt;IFERROR(INDEX('SETUP'!$K$19:$K$23,MATCH(D34,'SETUP'!$J$19:$J$23,0)),0),"At Risk","Covered")))</x:f>
      </x:c>
      <x:c r="P34" s="55" t="str">
        <x:f>IF(A34="","",IF(OR(B34="",C34="",E34="",F34="",G34="",H34="",J34="",G34&lt;F34,I34&lt;=0,COUNTIF($A$11:$A$90,A34)&gt;1),"ERROR","PASS"))</x:f>
      </x:c>
      <x:c r="Q34" s="73" t="n">
        <x:f>IF(P34="ERROR",ROW()-10,IF(N34="Overlap",100+ROW()-10,IF(AND(O34="At Risk",OR(J34="Pending",AND(J34="Approved",F34&gt;='SETUP'!$D$13))),200+ROW()-10,IF(J34="Pending",300+ROW()-10,9999))))</x:f>
        <x:v>9999</x:v>
      </x:c>
      <x:c r="R34" s="4"/>
      <x:c r="S34" s="4"/>
      <x:c r="T34" s="4"/>
    </x:row>
    <x:row r="35">
      <x:c r="A35" s="26"/>
      <x:c r="B35" s="26"/>
      <x:c r="C35" s="55" t="str">
        <x:f>IF(B35="","",IFERROR(INDEX('EMPLOYEES'!$B$11:$B$60,MATCH(B35,'EMPLOYEES'!$A$11:$A$60,0)),""))</x:f>
      </x:c>
      <x:c r="D35" s="55" t="str">
        <x:f>IF(B35="","",IFERROR(INDEX('EMPLOYEES'!$C$11:$C$60,MATCH(B35,'EMPLOYEES'!$A$11:$A$60,0)),""))</x:f>
      </x:c>
      <x:c r="E35" s="26"/>
      <x:c r="F35" s="28"/>
      <x:c r="G35" s="28"/>
      <x:c r="H35" s="29"/>
      <x:c r="I35" s="68" t="str">
        <x:f>IF(OR(F35="",G35="",H35=""),"",MAX(0,NETWORKDAYS(F35,G35)*H35))</x:f>
      </x:c>
      <x:c r="J35" s="26"/>
      <x:c r="K35" s="26"/>
      <x:c r="L35" s="28"/>
      <x:c r="M35" s="26"/>
      <x:c r="N35" s="55" t="str">
        <x:f>IF(A35="","",IF(COUNTIFS($B$11:$B$90,B35,$F$11:$F$90,"&lt;="&amp;G35,$G$11:$G$90,"&gt;="&amp;F35,$J$11:$J$90,"&lt;&gt;Declined",$J$11:$J$90,"&lt;&gt;Cancelled")&gt;1,"Overlap","Clear"))</x:f>
      </x:c>
      <x:c r="O35" s="55" t="str">
        <x:f>IF(A35="","",IF(OR(J35="Declined",J35="Cancelled"),"Not applicable",IF(COUNTIFS('EMPLOYEES'!$C$11:$C$60,D35,'EMPLOYEES'!$F$11:$F$60,"Active")-COUNTIFS($D$11:$D$90,D35,$F$11:$F$90,"&lt;="&amp;F35,$G$11:$G$90,"&gt;="&amp;F35,$J$11:$J$90,"Approved")-IF(J35="Pending",1,0)&lt;IFERROR(INDEX('SETUP'!$K$19:$K$23,MATCH(D35,'SETUP'!$J$19:$J$23,0)),0),"At Risk","Covered")))</x:f>
      </x:c>
      <x:c r="P35" s="55" t="str">
        <x:f>IF(A35="","",IF(OR(B35="",C35="",E35="",F35="",G35="",H35="",J35="",G35&lt;F35,I35&lt;=0,COUNTIF($A$11:$A$90,A35)&gt;1),"ERROR","PASS"))</x:f>
      </x:c>
      <x:c r="Q35" s="73" t="n">
        <x:f>IF(P35="ERROR",ROW()-10,IF(N35="Overlap",100+ROW()-10,IF(AND(O35="At Risk",OR(J35="Pending",AND(J35="Approved",F35&gt;='SETUP'!$D$13))),200+ROW()-10,IF(J35="Pending",300+ROW()-10,9999))))</x:f>
        <x:v>9999</x:v>
      </x:c>
      <x:c r="R35" s="4"/>
      <x:c r="S35" s="4"/>
      <x:c r="T35" s="4"/>
    </x:row>
    <x:row r="36">
      <x:c r="A36" s="26"/>
      <x:c r="B36" s="26"/>
      <x:c r="C36" s="55" t="str">
        <x:f>IF(B36="","",IFERROR(INDEX('EMPLOYEES'!$B$11:$B$60,MATCH(B36,'EMPLOYEES'!$A$11:$A$60,0)),""))</x:f>
      </x:c>
      <x:c r="D36" s="55" t="str">
        <x:f>IF(B36="","",IFERROR(INDEX('EMPLOYEES'!$C$11:$C$60,MATCH(B36,'EMPLOYEES'!$A$11:$A$60,0)),""))</x:f>
      </x:c>
      <x:c r="E36" s="26"/>
      <x:c r="F36" s="28"/>
      <x:c r="G36" s="28"/>
      <x:c r="H36" s="29"/>
      <x:c r="I36" s="68" t="str">
        <x:f>IF(OR(F36="",G36="",H36=""),"",MAX(0,NETWORKDAYS(F36,G36)*H36))</x:f>
      </x:c>
      <x:c r="J36" s="26"/>
      <x:c r="K36" s="26"/>
      <x:c r="L36" s="28"/>
      <x:c r="M36" s="26"/>
      <x:c r="N36" s="55" t="str">
        <x:f>IF(A36="","",IF(COUNTIFS($B$11:$B$90,B36,$F$11:$F$90,"&lt;="&amp;G36,$G$11:$G$90,"&gt;="&amp;F36,$J$11:$J$90,"&lt;&gt;Declined",$J$11:$J$90,"&lt;&gt;Cancelled")&gt;1,"Overlap","Clear"))</x:f>
      </x:c>
      <x:c r="O36" s="55" t="str">
        <x:f>IF(A36="","",IF(OR(J36="Declined",J36="Cancelled"),"Not applicable",IF(COUNTIFS('EMPLOYEES'!$C$11:$C$60,D36,'EMPLOYEES'!$F$11:$F$60,"Active")-COUNTIFS($D$11:$D$90,D36,$F$11:$F$90,"&lt;="&amp;F36,$G$11:$G$90,"&gt;="&amp;F36,$J$11:$J$90,"Approved")-IF(J36="Pending",1,0)&lt;IFERROR(INDEX('SETUP'!$K$19:$K$23,MATCH(D36,'SETUP'!$J$19:$J$23,0)),0),"At Risk","Covered")))</x:f>
      </x:c>
      <x:c r="P36" s="55" t="str">
        <x:f>IF(A36="","",IF(OR(B36="",C36="",E36="",F36="",G36="",H36="",J36="",G36&lt;F36,I36&lt;=0,COUNTIF($A$11:$A$90,A36)&gt;1),"ERROR","PASS"))</x:f>
      </x:c>
      <x:c r="Q36" s="73" t="n">
        <x:f>IF(P36="ERROR",ROW()-10,IF(N36="Overlap",100+ROW()-10,IF(AND(O36="At Risk",OR(J36="Pending",AND(J36="Approved",F36&gt;='SETUP'!$D$13))),200+ROW()-10,IF(J36="Pending",300+ROW()-10,9999))))</x:f>
        <x:v>9999</x:v>
      </x:c>
      <x:c r="R36" s="4"/>
      <x:c r="S36" s="4"/>
      <x:c r="T36" s="4"/>
    </x:row>
    <x:row r="37">
      <x:c r="A37" s="26"/>
      <x:c r="B37" s="26"/>
      <x:c r="C37" s="55" t="str">
        <x:f>IF(B37="","",IFERROR(INDEX('EMPLOYEES'!$B$11:$B$60,MATCH(B37,'EMPLOYEES'!$A$11:$A$60,0)),""))</x:f>
      </x:c>
      <x:c r="D37" s="55" t="str">
        <x:f>IF(B37="","",IFERROR(INDEX('EMPLOYEES'!$C$11:$C$60,MATCH(B37,'EMPLOYEES'!$A$11:$A$60,0)),""))</x:f>
      </x:c>
      <x:c r="E37" s="26"/>
      <x:c r="F37" s="28"/>
      <x:c r="G37" s="28"/>
      <x:c r="H37" s="29"/>
      <x:c r="I37" s="68" t="str">
        <x:f>IF(OR(F37="",G37="",H37=""),"",MAX(0,NETWORKDAYS(F37,G37)*H37))</x:f>
      </x:c>
      <x:c r="J37" s="26"/>
      <x:c r="K37" s="26"/>
      <x:c r="L37" s="28"/>
      <x:c r="M37" s="26"/>
      <x:c r="N37" s="55" t="str">
        <x:f>IF(A37="","",IF(COUNTIFS($B$11:$B$90,B37,$F$11:$F$90,"&lt;="&amp;G37,$G$11:$G$90,"&gt;="&amp;F37,$J$11:$J$90,"&lt;&gt;Declined",$J$11:$J$90,"&lt;&gt;Cancelled")&gt;1,"Overlap","Clear"))</x:f>
      </x:c>
      <x:c r="O37" s="55" t="str">
        <x:f>IF(A37="","",IF(OR(J37="Declined",J37="Cancelled"),"Not applicable",IF(COUNTIFS('EMPLOYEES'!$C$11:$C$60,D37,'EMPLOYEES'!$F$11:$F$60,"Active")-COUNTIFS($D$11:$D$90,D37,$F$11:$F$90,"&lt;="&amp;F37,$G$11:$G$90,"&gt;="&amp;F37,$J$11:$J$90,"Approved")-IF(J37="Pending",1,0)&lt;IFERROR(INDEX('SETUP'!$K$19:$K$23,MATCH(D37,'SETUP'!$J$19:$J$23,0)),0),"At Risk","Covered")))</x:f>
      </x:c>
      <x:c r="P37" s="55" t="str">
        <x:f>IF(A37="","",IF(OR(B37="",C37="",E37="",F37="",G37="",H37="",J37="",G37&lt;F37,I37&lt;=0,COUNTIF($A$11:$A$90,A37)&gt;1),"ERROR","PASS"))</x:f>
      </x:c>
      <x:c r="Q37" s="73" t="n">
        <x:f>IF(P37="ERROR",ROW()-10,IF(N37="Overlap",100+ROW()-10,IF(AND(O37="At Risk",OR(J37="Pending",AND(J37="Approved",F37&gt;='SETUP'!$D$13))),200+ROW()-10,IF(J37="Pending",300+ROW()-10,9999))))</x:f>
        <x:v>9999</x:v>
      </x:c>
      <x:c r="R37" s="4"/>
      <x:c r="S37" s="4"/>
      <x:c r="T37" s="4"/>
    </x:row>
    <x:row r="38">
      <x:c r="A38" s="26"/>
      <x:c r="B38" s="26"/>
      <x:c r="C38" s="55" t="str">
        <x:f>IF(B38="","",IFERROR(INDEX('EMPLOYEES'!$B$11:$B$60,MATCH(B38,'EMPLOYEES'!$A$11:$A$60,0)),""))</x:f>
      </x:c>
      <x:c r="D38" s="55" t="str">
        <x:f>IF(B38="","",IFERROR(INDEX('EMPLOYEES'!$C$11:$C$60,MATCH(B38,'EMPLOYEES'!$A$11:$A$60,0)),""))</x:f>
      </x:c>
      <x:c r="E38" s="26"/>
      <x:c r="F38" s="28"/>
      <x:c r="G38" s="28"/>
      <x:c r="H38" s="29"/>
      <x:c r="I38" s="68" t="str">
        <x:f>IF(OR(F38="",G38="",H38=""),"",MAX(0,NETWORKDAYS(F38,G38)*H38))</x:f>
      </x:c>
      <x:c r="J38" s="26"/>
      <x:c r="K38" s="26"/>
      <x:c r="L38" s="28"/>
      <x:c r="M38" s="26"/>
      <x:c r="N38" s="55" t="str">
        <x:f>IF(A38="","",IF(COUNTIFS($B$11:$B$90,B38,$F$11:$F$90,"&lt;="&amp;G38,$G$11:$G$90,"&gt;="&amp;F38,$J$11:$J$90,"&lt;&gt;Declined",$J$11:$J$90,"&lt;&gt;Cancelled")&gt;1,"Overlap","Clear"))</x:f>
      </x:c>
      <x:c r="O38" s="55" t="str">
        <x:f>IF(A38="","",IF(OR(J38="Declined",J38="Cancelled"),"Not applicable",IF(COUNTIFS('EMPLOYEES'!$C$11:$C$60,D38,'EMPLOYEES'!$F$11:$F$60,"Active")-COUNTIFS($D$11:$D$90,D38,$F$11:$F$90,"&lt;="&amp;F38,$G$11:$G$90,"&gt;="&amp;F38,$J$11:$J$90,"Approved")-IF(J38="Pending",1,0)&lt;IFERROR(INDEX('SETUP'!$K$19:$K$23,MATCH(D38,'SETUP'!$J$19:$J$23,0)),0),"At Risk","Covered")))</x:f>
      </x:c>
      <x:c r="P38" s="55" t="str">
        <x:f>IF(A38="","",IF(OR(B38="",C38="",E38="",F38="",G38="",H38="",J38="",G38&lt;F38,I38&lt;=0,COUNTIF($A$11:$A$90,A38)&gt;1),"ERROR","PASS"))</x:f>
      </x:c>
      <x:c r="Q38" s="73" t="n">
        <x:f>IF(P38="ERROR",ROW()-10,IF(N38="Overlap",100+ROW()-10,IF(AND(O38="At Risk",OR(J38="Pending",AND(J38="Approved",F38&gt;='SETUP'!$D$13))),200+ROW()-10,IF(J38="Pending",300+ROW()-10,9999))))</x:f>
        <x:v>9999</x:v>
      </x:c>
      <x:c r="R38" s="4"/>
      <x:c r="S38" s="4"/>
      <x:c r="T38" s="4"/>
    </x:row>
    <x:row r="39">
      <x:c r="A39" s="26"/>
      <x:c r="B39" s="26"/>
      <x:c r="C39" s="55" t="str">
        <x:f>IF(B39="","",IFERROR(INDEX('EMPLOYEES'!$B$11:$B$60,MATCH(B39,'EMPLOYEES'!$A$11:$A$60,0)),""))</x:f>
      </x:c>
      <x:c r="D39" s="55" t="str">
        <x:f>IF(B39="","",IFERROR(INDEX('EMPLOYEES'!$C$11:$C$60,MATCH(B39,'EMPLOYEES'!$A$11:$A$60,0)),""))</x:f>
      </x:c>
      <x:c r="E39" s="26"/>
      <x:c r="F39" s="28"/>
      <x:c r="G39" s="28"/>
      <x:c r="H39" s="29"/>
      <x:c r="I39" s="68" t="str">
        <x:f>IF(OR(F39="",G39="",H39=""),"",MAX(0,NETWORKDAYS(F39,G39)*H39))</x:f>
      </x:c>
      <x:c r="J39" s="26"/>
      <x:c r="K39" s="26"/>
      <x:c r="L39" s="28"/>
      <x:c r="M39" s="26"/>
      <x:c r="N39" s="55" t="str">
        <x:f>IF(A39="","",IF(COUNTIFS($B$11:$B$90,B39,$F$11:$F$90,"&lt;="&amp;G39,$G$11:$G$90,"&gt;="&amp;F39,$J$11:$J$90,"&lt;&gt;Declined",$J$11:$J$90,"&lt;&gt;Cancelled")&gt;1,"Overlap","Clear"))</x:f>
      </x:c>
      <x:c r="O39" s="55" t="str">
        <x:f>IF(A39="","",IF(OR(J39="Declined",J39="Cancelled"),"Not applicable",IF(COUNTIFS('EMPLOYEES'!$C$11:$C$60,D39,'EMPLOYEES'!$F$11:$F$60,"Active")-COUNTIFS($D$11:$D$90,D39,$F$11:$F$90,"&lt;="&amp;F39,$G$11:$G$90,"&gt;="&amp;F39,$J$11:$J$90,"Approved")-IF(J39="Pending",1,0)&lt;IFERROR(INDEX('SETUP'!$K$19:$K$23,MATCH(D39,'SETUP'!$J$19:$J$23,0)),0),"At Risk","Covered")))</x:f>
      </x:c>
      <x:c r="P39" s="55" t="str">
        <x:f>IF(A39="","",IF(OR(B39="",C39="",E39="",F39="",G39="",H39="",J39="",G39&lt;F39,I39&lt;=0,COUNTIF($A$11:$A$90,A39)&gt;1),"ERROR","PASS"))</x:f>
      </x:c>
      <x:c r="Q39" s="73" t="n">
        <x:f>IF(P39="ERROR",ROW()-10,IF(N39="Overlap",100+ROW()-10,IF(AND(O39="At Risk",OR(J39="Pending",AND(J39="Approved",F39&gt;='SETUP'!$D$13))),200+ROW()-10,IF(J39="Pending",300+ROW()-10,9999))))</x:f>
        <x:v>9999</x:v>
      </x:c>
      <x:c r="R39" s="4"/>
      <x:c r="S39" s="4"/>
      <x:c r="T39" s="4"/>
    </x:row>
    <x:row r="40">
      <x:c r="A40" s="26"/>
      <x:c r="B40" s="26"/>
      <x:c r="C40" s="55" t="str">
        <x:f>IF(B40="","",IFERROR(INDEX('EMPLOYEES'!$B$11:$B$60,MATCH(B40,'EMPLOYEES'!$A$11:$A$60,0)),""))</x:f>
      </x:c>
      <x:c r="D40" s="55" t="str">
        <x:f>IF(B40="","",IFERROR(INDEX('EMPLOYEES'!$C$11:$C$60,MATCH(B40,'EMPLOYEES'!$A$11:$A$60,0)),""))</x:f>
      </x:c>
      <x:c r="E40" s="26"/>
      <x:c r="F40" s="28"/>
      <x:c r="G40" s="28"/>
      <x:c r="H40" s="29"/>
      <x:c r="I40" s="68" t="str">
        <x:f>IF(OR(F40="",G40="",H40=""),"",MAX(0,NETWORKDAYS(F40,G40)*H40))</x:f>
      </x:c>
      <x:c r="J40" s="26"/>
      <x:c r="K40" s="26"/>
      <x:c r="L40" s="28"/>
      <x:c r="M40" s="26"/>
      <x:c r="N40" s="55" t="str">
        <x:f>IF(A40="","",IF(COUNTIFS($B$11:$B$90,B40,$F$11:$F$90,"&lt;="&amp;G40,$G$11:$G$90,"&gt;="&amp;F40,$J$11:$J$90,"&lt;&gt;Declined",$J$11:$J$90,"&lt;&gt;Cancelled")&gt;1,"Overlap","Clear"))</x:f>
      </x:c>
      <x:c r="O40" s="55" t="str">
        <x:f>IF(A40="","",IF(OR(J40="Declined",J40="Cancelled"),"Not applicable",IF(COUNTIFS('EMPLOYEES'!$C$11:$C$60,D40,'EMPLOYEES'!$F$11:$F$60,"Active")-COUNTIFS($D$11:$D$90,D40,$F$11:$F$90,"&lt;="&amp;F40,$G$11:$G$90,"&gt;="&amp;F40,$J$11:$J$90,"Approved")-IF(J40="Pending",1,0)&lt;IFERROR(INDEX('SETUP'!$K$19:$K$23,MATCH(D40,'SETUP'!$J$19:$J$23,0)),0),"At Risk","Covered")))</x:f>
      </x:c>
      <x:c r="P40" s="55" t="str">
        <x:f>IF(A40="","",IF(OR(B40="",C40="",E40="",F40="",G40="",H40="",J40="",G40&lt;F40,I40&lt;=0,COUNTIF($A$11:$A$90,A40)&gt;1),"ERROR","PASS"))</x:f>
      </x:c>
      <x:c r="Q40" s="73" t="n">
        <x:f>IF(P40="ERROR",ROW()-10,IF(N40="Overlap",100+ROW()-10,IF(AND(O40="At Risk",OR(J40="Pending",AND(J40="Approved",F40&gt;='SETUP'!$D$13))),200+ROW()-10,IF(J40="Pending",300+ROW()-10,9999))))</x:f>
        <x:v>9999</x:v>
      </x:c>
      <x:c r="R40" s="4"/>
      <x:c r="S40" s="4"/>
      <x:c r="T40" s="4"/>
    </x:row>
    <x:row r="41">
      <x:c r="A41" s="26"/>
      <x:c r="B41" s="26"/>
      <x:c r="C41" s="55" t="str">
        <x:f>IF(B41="","",IFERROR(INDEX('EMPLOYEES'!$B$11:$B$60,MATCH(B41,'EMPLOYEES'!$A$11:$A$60,0)),""))</x:f>
      </x:c>
      <x:c r="D41" s="55" t="str">
        <x:f>IF(B41="","",IFERROR(INDEX('EMPLOYEES'!$C$11:$C$60,MATCH(B41,'EMPLOYEES'!$A$11:$A$60,0)),""))</x:f>
      </x:c>
      <x:c r="E41" s="26"/>
      <x:c r="F41" s="28"/>
      <x:c r="G41" s="28"/>
      <x:c r="H41" s="29"/>
      <x:c r="I41" s="68" t="str">
        <x:f>IF(OR(F41="",G41="",H41=""),"",MAX(0,NETWORKDAYS(F41,G41)*H41))</x:f>
      </x:c>
      <x:c r="J41" s="26"/>
      <x:c r="K41" s="26"/>
      <x:c r="L41" s="28"/>
      <x:c r="M41" s="26"/>
      <x:c r="N41" s="55" t="str">
        <x:f>IF(A41="","",IF(COUNTIFS($B$11:$B$90,B41,$F$11:$F$90,"&lt;="&amp;G41,$G$11:$G$90,"&gt;="&amp;F41,$J$11:$J$90,"&lt;&gt;Declined",$J$11:$J$90,"&lt;&gt;Cancelled")&gt;1,"Overlap","Clear"))</x:f>
      </x:c>
      <x:c r="O41" s="55" t="str">
        <x:f>IF(A41="","",IF(OR(J41="Declined",J41="Cancelled"),"Not applicable",IF(COUNTIFS('EMPLOYEES'!$C$11:$C$60,D41,'EMPLOYEES'!$F$11:$F$60,"Active")-COUNTIFS($D$11:$D$90,D41,$F$11:$F$90,"&lt;="&amp;F41,$G$11:$G$90,"&gt;="&amp;F41,$J$11:$J$90,"Approved")-IF(J41="Pending",1,0)&lt;IFERROR(INDEX('SETUP'!$K$19:$K$23,MATCH(D41,'SETUP'!$J$19:$J$23,0)),0),"At Risk","Covered")))</x:f>
      </x:c>
      <x:c r="P41" s="55" t="str">
        <x:f>IF(A41="","",IF(OR(B41="",C41="",E41="",F41="",G41="",H41="",J41="",G41&lt;F41,I41&lt;=0,COUNTIF($A$11:$A$90,A41)&gt;1),"ERROR","PASS"))</x:f>
      </x:c>
      <x:c r="Q41" s="73" t="n">
        <x:f>IF(P41="ERROR",ROW()-10,IF(N41="Overlap",100+ROW()-10,IF(AND(O41="At Risk",OR(J41="Pending",AND(J41="Approved",F41&gt;='SETUP'!$D$13))),200+ROW()-10,IF(J41="Pending",300+ROW()-10,9999))))</x:f>
        <x:v>9999</x:v>
      </x:c>
      <x:c r="R41" s="4"/>
      <x:c r="S41" s="4"/>
      <x:c r="T41" s="4"/>
    </x:row>
    <x:row r="42">
      <x:c r="A42" s="26"/>
      <x:c r="B42" s="26"/>
      <x:c r="C42" s="55" t="str">
        <x:f>IF(B42="","",IFERROR(INDEX('EMPLOYEES'!$B$11:$B$60,MATCH(B42,'EMPLOYEES'!$A$11:$A$60,0)),""))</x:f>
      </x:c>
      <x:c r="D42" s="55" t="str">
        <x:f>IF(B42="","",IFERROR(INDEX('EMPLOYEES'!$C$11:$C$60,MATCH(B42,'EMPLOYEES'!$A$11:$A$60,0)),""))</x:f>
      </x:c>
      <x:c r="E42" s="26"/>
      <x:c r="F42" s="28"/>
      <x:c r="G42" s="28"/>
      <x:c r="H42" s="29"/>
      <x:c r="I42" s="68" t="str">
        <x:f>IF(OR(F42="",G42="",H42=""),"",MAX(0,NETWORKDAYS(F42,G42)*H42))</x:f>
      </x:c>
      <x:c r="J42" s="26"/>
      <x:c r="K42" s="26"/>
      <x:c r="L42" s="28"/>
      <x:c r="M42" s="26"/>
      <x:c r="N42" s="55" t="str">
        <x:f>IF(A42="","",IF(COUNTIFS($B$11:$B$90,B42,$F$11:$F$90,"&lt;="&amp;G42,$G$11:$G$90,"&gt;="&amp;F42,$J$11:$J$90,"&lt;&gt;Declined",$J$11:$J$90,"&lt;&gt;Cancelled")&gt;1,"Overlap","Clear"))</x:f>
      </x:c>
      <x:c r="O42" s="55" t="str">
        <x:f>IF(A42="","",IF(OR(J42="Declined",J42="Cancelled"),"Not applicable",IF(COUNTIFS('EMPLOYEES'!$C$11:$C$60,D42,'EMPLOYEES'!$F$11:$F$60,"Active")-COUNTIFS($D$11:$D$90,D42,$F$11:$F$90,"&lt;="&amp;F42,$G$11:$G$90,"&gt;="&amp;F42,$J$11:$J$90,"Approved")-IF(J42="Pending",1,0)&lt;IFERROR(INDEX('SETUP'!$K$19:$K$23,MATCH(D42,'SETUP'!$J$19:$J$23,0)),0),"At Risk","Covered")))</x:f>
      </x:c>
      <x:c r="P42" s="55" t="str">
        <x:f>IF(A42="","",IF(OR(B42="",C42="",E42="",F42="",G42="",H42="",J42="",G42&lt;F42,I42&lt;=0,COUNTIF($A$11:$A$90,A42)&gt;1),"ERROR","PASS"))</x:f>
      </x:c>
      <x:c r="Q42" s="73" t="n">
        <x:f>IF(P42="ERROR",ROW()-10,IF(N42="Overlap",100+ROW()-10,IF(AND(O42="At Risk",OR(J42="Pending",AND(J42="Approved",F42&gt;='SETUP'!$D$13))),200+ROW()-10,IF(J42="Pending",300+ROW()-10,9999))))</x:f>
        <x:v>9999</x:v>
      </x:c>
      <x:c r="R42" s="4"/>
      <x:c r="S42" s="4"/>
      <x:c r="T42" s="4"/>
    </x:row>
    <x:row r="43">
      <x:c r="A43" s="26"/>
      <x:c r="B43" s="26"/>
      <x:c r="C43" s="55" t="str">
        <x:f>IF(B43="","",IFERROR(INDEX('EMPLOYEES'!$B$11:$B$60,MATCH(B43,'EMPLOYEES'!$A$11:$A$60,0)),""))</x:f>
      </x:c>
      <x:c r="D43" s="55" t="str">
        <x:f>IF(B43="","",IFERROR(INDEX('EMPLOYEES'!$C$11:$C$60,MATCH(B43,'EMPLOYEES'!$A$11:$A$60,0)),""))</x:f>
      </x:c>
      <x:c r="E43" s="26"/>
      <x:c r="F43" s="28"/>
      <x:c r="G43" s="28"/>
      <x:c r="H43" s="29"/>
      <x:c r="I43" s="68" t="str">
        <x:f>IF(OR(F43="",G43="",H43=""),"",MAX(0,NETWORKDAYS(F43,G43)*H43))</x:f>
      </x:c>
      <x:c r="J43" s="26"/>
      <x:c r="K43" s="26"/>
      <x:c r="L43" s="28"/>
      <x:c r="M43" s="26"/>
      <x:c r="N43" s="55" t="str">
        <x:f>IF(A43="","",IF(COUNTIFS($B$11:$B$90,B43,$F$11:$F$90,"&lt;="&amp;G43,$G$11:$G$90,"&gt;="&amp;F43,$J$11:$J$90,"&lt;&gt;Declined",$J$11:$J$90,"&lt;&gt;Cancelled")&gt;1,"Overlap","Clear"))</x:f>
      </x:c>
      <x:c r="O43" s="55" t="str">
        <x:f>IF(A43="","",IF(OR(J43="Declined",J43="Cancelled"),"Not applicable",IF(COUNTIFS('EMPLOYEES'!$C$11:$C$60,D43,'EMPLOYEES'!$F$11:$F$60,"Active")-COUNTIFS($D$11:$D$90,D43,$F$11:$F$90,"&lt;="&amp;F43,$G$11:$G$90,"&gt;="&amp;F43,$J$11:$J$90,"Approved")-IF(J43="Pending",1,0)&lt;IFERROR(INDEX('SETUP'!$K$19:$K$23,MATCH(D43,'SETUP'!$J$19:$J$23,0)),0),"At Risk","Covered")))</x:f>
      </x:c>
      <x:c r="P43" s="55" t="str">
        <x:f>IF(A43="","",IF(OR(B43="",C43="",E43="",F43="",G43="",H43="",J43="",G43&lt;F43,I43&lt;=0,COUNTIF($A$11:$A$90,A43)&gt;1),"ERROR","PASS"))</x:f>
      </x:c>
      <x:c r="Q43" s="73" t="n">
        <x:f>IF(P43="ERROR",ROW()-10,IF(N43="Overlap",100+ROW()-10,IF(AND(O43="At Risk",OR(J43="Pending",AND(J43="Approved",F43&gt;='SETUP'!$D$13))),200+ROW()-10,IF(J43="Pending",300+ROW()-10,9999))))</x:f>
        <x:v>9999</x:v>
      </x:c>
      <x:c r="R43" s="4"/>
      <x:c r="S43" s="4"/>
      <x:c r="T43" s="4"/>
    </x:row>
    <x:row r="44">
      <x:c r="A44" s="26"/>
      <x:c r="B44" s="26"/>
      <x:c r="C44" s="55" t="str">
        <x:f>IF(B44="","",IFERROR(INDEX('EMPLOYEES'!$B$11:$B$60,MATCH(B44,'EMPLOYEES'!$A$11:$A$60,0)),""))</x:f>
      </x:c>
      <x:c r="D44" s="55" t="str">
        <x:f>IF(B44="","",IFERROR(INDEX('EMPLOYEES'!$C$11:$C$60,MATCH(B44,'EMPLOYEES'!$A$11:$A$60,0)),""))</x:f>
      </x:c>
      <x:c r="E44" s="26"/>
      <x:c r="F44" s="28"/>
      <x:c r="G44" s="28"/>
      <x:c r="H44" s="29"/>
      <x:c r="I44" s="68" t="str">
        <x:f>IF(OR(F44="",G44="",H44=""),"",MAX(0,NETWORKDAYS(F44,G44)*H44))</x:f>
      </x:c>
      <x:c r="J44" s="26"/>
      <x:c r="K44" s="26"/>
      <x:c r="L44" s="28"/>
      <x:c r="M44" s="26"/>
      <x:c r="N44" s="55" t="str">
        <x:f>IF(A44="","",IF(COUNTIFS($B$11:$B$90,B44,$F$11:$F$90,"&lt;="&amp;G44,$G$11:$G$90,"&gt;="&amp;F44,$J$11:$J$90,"&lt;&gt;Declined",$J$11:$J$90,"&lt;&gt;Cancelled")&gt;1,"Overlap","Clear"))</x:f>
      </x:c>
      <x:c r="O44" s="55" t="str">
        <x:f>IF(A44="","",IF(OR(J44="Declined",J44="Cancelled"),"Not applicable",IF(COUNTIFS('EMPLOYEES'!$C$11:$C$60,D44,'EMPLOYEES'!$F$11:$F$60,"Active")-COUNTIFS($D$11:$D$90,D44,$F$11:$F$90,"&lt;="&amp;F44,$G$11:$G$90,"&gt;="&amp;F44,$J$11:$J$90,"Approved")-IF(J44="Pending",1,0)&lt;IFERROR(INDEX('SETUP'!$K$19:$K$23,MATCH(D44,'SETUP'!$J$19:$J$23,0)),0),"At Risk","Covered")))</x:f>
      </x:c>
      <x:c r="P44" s="55" t="str">
        <x:f>IF(A44="","",IF(OR(B44="",C44="",E44="",F44="",G44="",H44="",J44="",G44&lt;F44,I44&lt;=0,COUNTIF($A$11:$A$90,A44)&gt;1),"ERROR","PASS"))</x:f>
      </x:c>
      <x:c r="Q44" s="73" t="n">
        <x:f>IF(P44="ERROR",ROW()-10,IF(N44="Overlap",100+ROW()-10,IF(AND(O44="At Risk",OR(J44="Pending",AND(J44="Approved",F44&gt;='SETUP'!$D$13))),200+ROW()-10,IF(J44="Pending",300+ROW()-10,9999))))</x:f>
        <x:v>9999</x:v>
      </x:c>
      <x:c r="R44" s="4"/>
      <x:c r="S44" s="4"/>
      <x:c r="T44" s="4"/>
    </x:row>
    <x:row r="45">
      <x:c r="A45" s="26"/>
      <x:c r="B45" s="26"/>
      <x:c r="C45" s="55" t="str">
        <x:f>IF(B45="","",IFERROR(INDEX('EMPLOYEES'!$B$11:$B$60,MATCH(B45,'EMPLOYEES'!$A$11:$A$60,0)),""))</x:f>
      </x:c>
      <x:c r="D45" s="55" t="str">
        <x:f>IF(B45="","",IFERROR(INDEX('EMPLOYEES'!$C$11:$C$60,MATCH(B45,'EMPLOYEES'!$A$11:$A$60,0)),""))</x:f>
      </x:c>
      <x:c r="E45" s="26"/>
      <x:c r="F45" s="28"/>
      <x:c r="G45" s="28"/>
      <x:c r="H45" s="29"/>
      <x:c r="I45" s="68" t="str">
        <x:f>IF(OR(F45="",G45="",H45=""),"",MAX(0,NETWORKDAYS(F45,G45)*H45))</x:f>
      </x:c>
      <x:c r="J45" s="26"/>
      <x:c r="K45" s="26"/>
      <x:c r="L45" s="28"/>
      <x:c r="M45" s="26"/>
      <x:c r="N45" s="55" t="str">
        <x:f>IF(A45="","",IF(COUNTIFS($B$11:$B$90,B45,$F$11:$F$90,"&lt;="&amp;G45,$G$11:$G$90,"&gt;="&amp;F45,$J$11:$J$90,"&lt;&gt;Declined",$J$11:$J$90,"&lt;&gt;Cancelled")&gt;1,"Overlap","Clear"))</x:f>
      </x:c>
      <x:c r="O45" s="55" t="str">
        <x:f>IF(A45="","",IF(OR(J45="Declined",J45="Cancelled"),"Not applicable",IF(COUNTIFS('EMPLOYEES'!$C$11:$C$60,D45,'EMPLOYEES'!$F$11:$F$60,"Active")-COUNTIFS($D$11:$D$90,D45,$F$11:$F$90,"&lt;="&amp;F45,$G$11:$G$90,"&gt;="&amp;F45,$J$11:$J$90,"Approved")-IF(J45="Pending",1,0)&lt;IFERROR(INDEX('SETUP'!$K$19:$K$23,MATCH(D45,'SETUP'!$J$19:$J$23,0)),0),"At Risk","Covered")))</x:f>
      </x:c>
      <x:c r="P45" s="55" t="str">
        <x:f>IF(A45="","",IF(OR(B45="",C45="",E45="",F45="",G45="",H45="",J45="",G45&lt;F45,I45&lt;=0,COUNTIF($A$11:$A$90,A45)&gt;1),"ERROR","PASS"))</x:f>
      </x:c>
      <x:c r="Q45" s="73" t="n">
        <x:f>IF(P45="ERROR",ROW()-10,IF(N45="Overlap",100+ROW()-10,IF(AND(O45="At Risk",OR(J45="Pending",AND(J45="Approved",F45&gt;='SETUP'!$D$13))),200+ROW()-10,IF(J45="Pending",300+ROW()-10,9999))))</x:f>
        <x:v>9999</x:v>
      </x:c>
      <x:c r="R45" s="4"/>
      <x:c r="S45" s="4"/>
      <x:c r="T45" s="4"/>
    </x:row>
    <x:row r="46">
      <x:c r="A46" s="26"/>
      <x:c r="B46" s="26"/>
      <x:c r="C46" s="55" t="str">
        <x:f>IF(B46="","",IFERROR(INDEX('EMPLOYEES'!$B$11:$B$60,MATCH(B46,'EMPLOYEES'!$A$11:$A$60,0)),""))</x:f>
      </x:c>
      <x:c r="D46" s="55" t="str">
        <x:f>IF(B46="","",IFERROR(INDEX('EMPLOYEES'!$C$11:$C$60,MATCH(B46,'EMPLOYEES'!$A$11:$A$60,0)),""))</x:f>
      </x:c>
      <x:c r="E46" s="26"/>
      <x:c r="F46" s="28"/>
      <x:c r="G46" s="28"/>
      <x:c r="H46" s="29"/>
      <x:c r="I46" s="68" t="str">
        <x:f>IF(OR(F46="",G46="",H46=""),"",MAX(0,NETWORKDAYS(F46,G46)*H46))</x:f>
      </x:c>
      <x:c r="J46" s="26"/>
      <x:c r="K46" s="26"/>
      <x:c r="L46" s="28"/>
      <x:c r="M46" s="26"/>
      <x:c r="N46" s="55" t="str">
        <x:f>IF(A46="","",IF(COUNTIFS($B$11:$B$90,B46,$F$11:$F$90,"&lt;="&amp;G46,$G$11:$G$90,"&gt;="&amp;F46,$J$11:$J$90,"&lt;&gt;Declined",$J$11:$J$90,"&lt;&gt;Cancelled")&gt;1,"Overlap","Clear"))</x:f>
      </x:c>
      <x:c r="O46" s="55" t="str">
        <x:f>IF(A46="","",IF(OR(J46="Declined",J46="Cancelled"),"Not applicable",IF(COUNTIFS('EMPLOYEES'!$C$11:$C$60,D46,'EMPLOYEES'!$F$11:$F$60,"Active")-COUNTIFS($D$11:$D$90,D46,$F$11:$F$90,"&lt;="&amp;F46,$G$11:$G$90,"&gt;="&amp;F46,$J$11:$J$90,"Approved")-IF(J46="Pending",1,0)&lt;IFERROR(INDEX('SETUP'!$K$19:$K$23,MATCH(D46,'SETUP'!$J$19:$J$23,0)),0),"At Risk","Covered")))</x:f>
      </x:c>
      <x:c r="P46" s="55" t="str">
        <x:f>IF(A46="","",IF(OR(B46="",C46="",E46="",F46="",G46="",H46="",J46="",G46&lt;F46,I46&lt;=0,COUNTIF($A$11:$A$90,A46)&gt;1),"ERROR","PASS"))</x:f>
      </x:c>
      <x:c r="Q46" s="73" t="n">
        <x:f>IF(P46="ERROR",ROW()-10,IF(N46="Overlap",100+ROW()-10,IF(AND(O46="At Risk",OR(J46="Pending",AND(J46="Approved",F46&gt;='SETUP'!$D$13))),200+ROW()-10,IF(J46="Pending",300+ROW()-10,9999))))</x:f>
        <x:v>9999</x:v>
      </x:c>
      <x:c r="R46" s="4"/>
      <x:c r="S46" s="4"/>
      <x:c r="T46" s="4"/>
    </x:row>
    <x:row r="47">
      <x:c r="A47" s="26"/>
      <x:c r="B47" s="26"/>
      <x:c r="C47" s="55" t="str">
        <x:f>IF(B47="","",IFERROR(INDEX('EMPLOYEES'!$B$11:$B$60,MATCH(B47,'EMPLOYEES'!$A$11:$A$60,0)),""))</x:f>
      </x:c>
      <x:c r="D47" s="55" t="str">
        <x:f>IF(B47="","",IFERROR(INDEX('EMPLOYEES'!$C$11:$C$60,MATCH(B47,'EMPLOYEES'!$A$11:$A$60,0)),""))</x:f>
      </x:c>
      <x:c r="E47" s="26"/>
      <x:c r="F47" s="28"/>
      <x:c r="G47" s="28"/>
      <x:c r="H47" s="29"/>
      <x:c r="I47" s="68" t="str">
        <x:f>IF(OR(F47="",G47="",H47=""),"",MAX(0,NETWORKDAYS(F47,G47)*H47))</x:f>
      </x:c>
      <x:c r="J47" s="26"/>
      <x:c r="K47" s="26"/>
      <x:c r="L47" s="28"/>
      <x:c r="M47" s="26"/>
      <x:c r="N47" s="55" t="str">
        <x:f>IF(A47="","",IF(COUNTIFS($B$11:$B$90,B47,$F$11:$F$90,"&lt;="&amp;G47,$G$11:$G$90,"&gt;="&amp;F47,$J$11:$J$90,"&lt;&gt;Declined",$J$11:$J$90,"&lt;&gt;Cancelled")&gt;1,"Overlap","Clear"))</x:f>
      </x:c>
      <x:c r="O47" s="55" t="str">
        <x:f>IF(A47="","",IF(OR(J47="Declined",J47="Cancelled"),"Not applicable",IF(COUNTIFS('EMPLOYEES'!$C$11:$C$60,D47,'EMPLOYEES'!$F$11:$F$60,"Active")-COUNTIFS($D$11:$D$90,D47,$F$11:$F$90,"&lt;="&amp;F47,$G$11:$G$90,"&gt;="&amp;F47,$J$11:$J$90,"Approved")-IF(J47="Pending",1,0)&lt;IFERROR(INDEX('SETUP'!$K$19:$K$23,MATCH(D47,'SETUP'!$J$19:$J$23,0)),0),"At Risk","Covered")))</x:f>
      </x:c>
      <x:c r="P47" s="55" t="str">
        <x:f>IF(A47="","",IF(OR(B47="",C47="",E47="",F47="",G47="",H47="",J47="",G47&lt;F47,I47&lt;=0,COUNTIF($A$11:$A$90,A47)&gt;1),"ERROR","PASS"))</x:f>
      </x:c>
      <x:c r="Q47" s="73" t="n">
        <x:f>IF(P47="ERROR",ROW()-10,IF(N47="Overlap",100+ROW()-10,IF(AND(O47="At Risk",OR(J47="Pending",AND(J47="Approved",F47&gt;='SETUP'!$D$13))),200+ROW()-10,IF(J47="Pending",300+ROW()-10,9999))))</x:f>
        <x:v>9999</x:v>
      </x:c>
      <x:c r="R47" s="4"/>
      <x:c r="S47" s="4"/>
      <x:c r="T47" s="4"/>
    </x:row>
    <x:row r="48">
      <x:c r="A48" s="26"/>
      <x:c r="B48" s="26"/>
      <x:c r="C48" s="55" t="str">
        <x:f>IF(B48="","",IFERROR(INDEX('EMPLOYEES'!$B$11:$B$60,MATCH(B48,'EMPLOYEES'!$A$11:$A$60,0)),""))</x:f>
      </x:c>
      <x:c r="D48" s="55" t="str">
        <x:f>IF(B48="","",IFERROR(INDEX('EMPLOYEES'!$C$11:$C$60,MATCH(B48,'EMPLOYEES'!$A$11:$A$60,0)),""))</x:f>
      </x:c>
      <x:c r="E48" s="26"/>
      <x:c r="F48" s="28"/>
      <x:c r="G48" s="28"/>
      <x:c r="H48" s="29"/>
      <x:c r="I48" s="68" t="str">
        <x:f>IF(OR(F48="",G48="",H48=""),"",MAX(0,NETWORKDAYS(F48,G48)*H48))</x:f>
      </x:c>
      <x:c r="J48" s="26"/>
      <x:c r="K48" s="26"/>
      <x:c r="L48" s="28"/>
      <x:c r="M48" s="26"/>
      <x:c r="N48" s="55" t="str">
        <x:f>IF(A48="","",IF(COUNTIFS($B$11:$B$90,B48,$F$11:$F$90,"&lt;="&amp;G48,$G$11:$G$90,"&gt;="&amp;F48,$J$11:$J$90,"&lt;&gt;Declined",$J$11:$J$90,"&lt;&gt;Cancelled")&gt;1,"Overlap","Clear"))</x:f>
      </x:c>
      <x:c r="O48" s="55" t="str">
        <x:f>IF(A48="","",IF(OR(J48="Declined",J48="Cancelled"),"Not applicable",IF(COUNTIFS('EMPLOYEES'!$C$11:$C$60,D48,'EMPLOYEES'!$F$11:$F$60,"Active")-COUNTIFS($D$11:$D$90,D48,$F$11:$F$90,"&lt;="&amp;F48,$G$11:$G$90,"&gt;="&amp;F48,$J$11:$J$90,"Approved")-IF(J48="Pending",1,0)&lt;IFERROR(INDEX('SETUP'!$K$19:$K$23,MATCH(D48,'SETUP'!$J$19:$J$23,0)),0),"At Risk","Covered")))</x:f>
      </x:c>
      <x:c r="P48" s="55" t="str">
        <x:f>IF(A48="","",IF(OR(B48="",C48="",E48="",F48="",G48="",H48="",J48="",G48&lt;F48,I48&lt;=0,COUNTIF($A$11:$A$90,A48)&gt;1),"ERROR","PASS"))</x:f>
      </x:c>
      <x:c r="Q48" s="73" t="n">
        <x:f>IF(P48="ERROR",ROW()-10,IF(N48="Overlap",100+ROW()-10,IF(AND(O48="At Risk",OR(J48="Pending",AND(J48="Approved",F48&gt;='SETUP'!$D$13))),200+ROW()-10,IF(J48="Pending",300+ROW()-10,9999))))</x:f>
        <x:v>9999</x:v>
      </x:c>
      <x:c r="R48" s="4"/>
      <x:c r="S48" s="4"/>
      <x:c r="T48" s="4"/>
    </x:row>
    <x:row r="49">
      <x:c r="A49" s="26"/>
      <x:c r="B49" s="26"/>
      <x:c r="C49" s="55" t="str">
        <x:f>IF(B49="","",IFERROR(INDEX('EMPLOYEES'!$B$11:$B$60,MATCH(B49,'EMPLOYEES'!$A$11:$A$60,0)),""))</x:f>
      </x:c>
      <x:c r="D49" s="55" t="str">
        <x:f>IF(B49="","",IFERROR(INDEX('EMPLOYEES'!$C$11:$C$60,MATCH(B49,'EMPLOYEES'!$A$11:$A$60,0)),""))</x:f>
      </x:c>
      <x:c r="E49" s="26"/>
      <x:c r="F49" s="28"/>
      <x:c r="G49" s="28"/>
      <x:c r="H49" s="29"/>
      <x:c r="I49" s="68" t="str">
        <x:f>IF(OR(F49="",G49="",H49=""),"",MAX(0,NETWORKDAYS(F49,G49)*H49))</x:f>
      </x:c>
      <x:c r="J49" s="26"/>
      <x:c r="K49" s="26"/>
      <x:c r="L49" s="28"/>
      <x:c r="M49" s="26"/>
      <x:c r="N49" s="55" t="str">
        <x:f>IF(A49="","",IF(COUNTIFS($B$11:$B$90,B49,$F$11:$F$90,"&lt;="&amp;G49,$G$11:$G$90,"&gt;="&amp;F49,$J$11:$J$90,"&lt;&gt;Declined",$J$11:$J$90,"&lt;&gt;Cancelled")&gt;1,"Overlap","Clear"))</x:f>
      </x:c>
      <x:c r="O49" s="55" t="str">
        <x:f>IF(A49="","",IF(OR(J49="Declined",J49="Cancelled"),"Not applicable",IF(COUNTIFS('EMPLOYEES'!$C$11:$C$60,D49,'EMPLOYEES'!$F$11:$F$60,"Active")-COUNTIFS($D$11:$D$90,D49,$F$11:$F$90,"&lt;="&amp;F49,$G$11:$G$90,"&gt;="&amp;F49,$J$11:$J$90,"Approved")-IF(J49="Pending",1,0)&lt;IFERROR(INDEX('SETUP'!$K$19:$K$23,MATCH(D49,'SETUP'!$J$19:$J$23,0)),0),"At Risk","Covered")))</x:f>
      </x:c>
      <x:c r="P49" s="55" t="str">
        <x:f>IF(A49="","",IF(OR(B49="",C49="",E49="",F49="",G49="",H49="",J49="",G49&lt;F49,I49&lt;=0,COUNTIF($A$11:$A$90,A49)&gt;1),"ERROR","PASS"))</x:f>
      </x:c>
      <x:c r="Q49" s="73" t="n">
        <x:f>IF(P49="ERROR",ROW()-10,IF(N49="Overlap",100+ROW()-10,IF(AND(O49="At Risk",OR(J49="Pending",AND(J49="Approved",F49&gt;='SETUP'!$D$13))),200+ROW()-10,IF(J49="Pending",300+ROW()-10,9999))))</x:f>
        <x:v>9999</x:v>
      </x:c>
      <x:c r="R49" s="4"/>
      <x:c r="S49" s="4"/>
      <x:c r="T49" s="4"/>
    </x:row>
    <x:row r="50">
      <x:c r="A50" s="26"/>
      <x:c r="B50" s="26"/>
      <x:c r="C50" s="55" t="str">
        <x:f>IF(B50="","",IFERROR(INDEX('EMPLOYEES'!$B$11:$B$60,MATCH(B50,'EMPLOYEES'!$A$11:$A$60,0)),""))</x:f>
      </x:c>
      <x:c r="D50" s="55" t="str">
        <x:f>IF(B50="","",IFERROR(INDEX('EMPLOYEES'!$C$11:$C$60,MATCH(B50,'EMPLOYEES'!$A$11:$A$60,0)),""))</x:f>
      </x:c>
      <x:c r="E50" s="26"/>
      <x:c r="F50" s="28"/>
      <x:c r="G50" s="28"/>
      <x:c r="H50" s="29"/>
      <x:c r="I50" s="68" t="str">
        <x:f>IF(OR(F50="",G50="",H50=""),"",MAX(0,NETWORKDAYS(F50,G50)*H50))</x:f>
      </x:c>
      <x:c r="J50" s="26"/>
      <x:c r="K50" s="26"/>
      <x:c r="L50" s="28"/>
      <x:c r="M50" s="26"/>
      <x:c r="N50" s="55" t="str">
        <x:f>IF(A50="","",IF(COUNTIFS($B$11:$B$90,B50,$F$11:$F$90,"&lt;="&amp;G50,$G$11:$G$90,"&gt;="&amp;F50,$J$11:$J$90,"&lt;&gt;Declined",$J$11:$J$90,"&lt;&gt;Cancelled")&gt;1,"Overlap","Clear"))</x:f>
      </x:c>
      <x:c r="O50" s="55" t="str">
        <x:f>IF(A50="","",IF(OR(J50="Declined",J50="Cancelled"),"Not applicable",IF(COUNTIFS('EMPLOYEES'!$C$11:$C$60,D50,'EMPLOYEES'!$F$11:$F$60,"Active")-COUNTIFS($D$11:$D$90,D50,$F$11:$F$90,"&lt;="&amp;F50,$G$11:$G$90,"&gt;="&amp;F50,$J$11:$J$90,"Approved")-IF(J50="Pending",1,0)&lt;IFERROR(INDEX('SETUP'!$K$19:$K$23,MATCH(D50,'SETUP'!$J$19:$J$23,0)),0),"At Risk","Covered")))</x:f>
      </x:c>
      <x:c r="P50" s="55" t="str">
        <x:f>IF(A50="","",IF(OR(B50="",C50="",E50="",F50="",G50="",H50="",J50="",G50&lt;F50,I50&lt;=0,COUNTIF($A$11:$A$90,A50)&gt;1),"ERROR","PASS"))</x:f>
      </x:c>
      <x:c r="Q50" s="73" t="n">
        <x:f>IF(P50="ERROR",ROW()-10,IF(N50="Overlap",100+ROW()-10,IF(AND(O50="At Risk",OR(J50="Pending",AND(J50="Approved",F50&gt;='SETUP'!$D$13))),200+ROW()-10,IF(J50="Pending",300+ROW()-10,9999))))</x:f>
        <x:v>9999</x:v>
      </x:c>
      <x:c r="R50" s="4"/>
      <x:c r="S50" s="4"/>
      <x:c r="T50" s="4"/>
    </x:row>
    <x:row r="51">
      <x:c r="A51" s="26"/>
      <x:c r="B51" s="26"/>
      <x:c r="C51" s="55" t="str">
        <x:f>IF(B51="","",IFERROR(INDEX('EMPLOYEES'!$B$11:$B$60,MATCH(B51,'EMPLOYEES'!$A$11:$A$60,0)),""))</x:f>
      </x:c>
      <x:c r="D51" s="55" t="str">
        <x:f>IF(B51="","",IFERROR(INDEX('EMPLOYEES'!$C$11:$C$60,MATCH(B51,'EMPLOYEES'!$A$11:$A$60,0)),""))</x:f>
      </x:c>
      <x:c r="E51" s="26"/>
      <x:c r="F51" s="28"/>
      <x:c r="G51" s="28"/>
      <x:c r="H51" s="29"/>
      <x:c r="I51" s="68" t="str">
        <x:f>IF(OR(F51="",G51="",H51=""),"",MAX(0,NETWORKDAYS(F51,G51)*H51))</x:f>
      </x:c>
      <x:c r="J51" s="26"/>
      <x:c r="K51" s="26"/>
      <x:c r="L51" s="28"/>
      <x:c r="M51" s="26"/>
      <x:c r="N51" s="55" t="str">
        <x:f>IF(A51="","",IF(COUNTIFS($B$11:$B$90,B51,$F$11:$F$90,"&lt;="&amp;G51,$G$11:$G$90,"&gt;="&amp;F51,$J$11:$J$90,"&lt;&gt;Declined",$J$11:$J$90,"&lt;&gt;Cancelled")&gt;1,"Overlap","Clear"))</x:f>
      </x:c>
      <x:c r="O51" s="55" t="str">
        <x:f>IF(A51="","",IF(OR(J51="Declined",J51="Cancelled"),"Not applicable",IF(COUNTIFS('EMPLOYEES'!$C$11:$C$60,D51,'EMPLOYEES'!$F$11:$F$60,"Active")-COUNTIFS($D$11:$D$90,D51,$F$11:$F$90,"&lt;="&amp;F51,$G$11:$G$90,"&gt;="&amp;F51,$J$11:$J$90,"Approved")-IF(J51="Pending",1,0)&lt;IFERROR(INDEX('SETUP'!$K$19:$K$23,MATCH(D51,'SETUP'!$J$19:$J$23,0)),0),"At Risk","Covered")))</x:f>
      </x:c>
      <x:c r="P51" s="55" t="str">
        <x:f>IF(A51="","",IF(OR(B51="",C51="",E51="",F51="",G51="",H51="",J51="",G51&lt;F51,I51&lt;=0,COUNTIF($A$11:$A$90,A51)&gt;1),"ERROR","PASS"))</x:f>
      </x:c>
      <x:c r="Q51" s="73" t="n">
        <x:f>IF(P51="ERROR",ROW()-10,IF(N51="Overlap",100+ROW()-10,IF(AND(O51="At Risk",OR(J51="Pending",AND(J51="Approved",F51&gt;='SETUP'!$D$13))),200+ROW()-10,IF(J51="Pending",300+ROW()-10,9999))))</x:f>
        <x:v>9999</x:v>
      </x:c>
      <x:c r="R51" s="4"/>
      <x:c r="S51" s="4"/>
      <x:c r="T51" s="4"/>
    </x:row>
    <x:row r="52">
      <x:c r="A52" s="26"/>
      <x:c r="B52" s="26"/>
      <x:c r="C52" s="55" t="str">
        <x:f>IF(B52="","",IFERROR(INDEX('EMPLOYEES'!$B$11:$B$60,MATCH(B52,'EMPLOYEES'!$A$11:$A$60,0)),""))</x:f>
      </x:c>
      <x:c r="D52" s="55" t="str">
        <x:f>IF(B52="","",IFERROR(INDEX('EMPLOYEES'!$C$11:$C$60,MATCH(B52,'EMPLOYEES'!$A$11:$A$60,0)),""))</x:f>
      </x:c>
      <x:c r="E52" s="26"/>
      <x:c r="F52" s="28"/>
      <x:c r="G52" s="28"/>
      <x:c r="H52" s="29"/>
      <x:c r="I52" s="68" t="str">
        <x:f>IF(OR(F52="",G52="",H52=""),"",MAX(0,NETWORKDAYS(F52,G52)*H52))</x:f>
      </x:c>
      <x:c r="J52" s="26"/>
      <x:c r="K52" s="26"/>
      <x:c r="L52" s="28"/>
      <x:c r="M52" s="26"/>
      <x:c r="N52" s="55" t="str">
        <x:f>IF(A52="","",IF(COUNTIFS($B$11:$B$90,B52,$F$11:$F$90,"&lt;="&amp;G52,$G$11:$G$90,"&gt;="&amp;F52,$J$11:$J$90,"&lt;&gt;Declined",$J$11:$J$90,"&lt;&gt;Cancelled")&gt;1,"Overlap","Clear"))</x:f>
      </x:c>
      <x:c r="O52" s="55" t="str">
        <x:f>IF(A52="","",IF(OR(J52="Declined",J52="Cancelled"),"Not applicable",IF(COUNTIFS('EMPLOYEES'!$C$11:$C$60,D52,'EMPLOYEES'!$F$11:$F$60,"Active")-COUNTIFS($D$11:$D$90,D52,$F$11:$F$90,"&lt;="&amp;F52,$G$11:$G$90,"&gt;="&amp;F52,$J$11:$J$90,"Approved")-IF(J52="Pending",1,0)&lt;IFERROR(INDEX('SETUP'!$K$19:$K$23,MATCH(D52,'SETUP'!$J$19:$J$23,0)),0),"At Risk","Covered")))</x:f>
      </x:c>
      <x:c r="P52" s="55" t="str">
        <x:f>IF(A52="","",IF(OR(B52="",C52="",E52="",F52="",G52="",H52="",J52="",G52&lt;F52,I52&lt;=0,COUNTIF($A$11:$A$90,A52)&gt;1),"ERROR","PASS"))</x:f>
      </x:c>
      <x:c r="Q52" s="73" t="n">
        <x:f>IF(P52="ERROR",ROW()-10,IF(N52="Overlap",100+ROW()-10,IF(AND(O52="At Risk",OR(J52="Pending",AND(J52="Approved",F52&gt;='SETUP'!$D$13))),200+ROW()-10,IF(J52="Pending",300+ROW()-10,9999))))</x:f>
        <x:v>9999</x:v>
      </x:c>
      <x:c r="R52" s="4"/>
      <x:c r="S52" s="4"/>
      <x:c r="T52" s="4"/>
    </x:row>
    <x:row r="53">
      <x:c r="A53" s="26"/>
      <x:c r="B53" s="26"/>
      <x:c r="C53" s="55" t="str">
        <x:f>IF(B53="","",IFERROR(INDEX('EMPLOYEES'!$B$11:$B$60,MATCH(B53,'EMPLOYEES'!$A$11:$A$60,0)),""))</x:f>
      </x:c>
      <x:c r="D53" s="55" t="str">
        <x:f>IF(B53="","",IFERROR(INDEX('EMPLOYEES'!$C$11:$C$60,MATCH(B53,'EMPLOYEES'!$A$11:$A$60,0)),""))</x:f>
      </x:c>
      <x:c r="E53" s="26"/>
      <x:c r="F53" s="28"/>
      <x:c r="G53" s="28"/>
      <x:c r="H53" s="29"/>
      <x:c r="I53" s="68" t="str">
        <x:f>IF(OR(F53="",G53="",H53=""),"",MAX(0,NETWORKDAYS(F53,G53)*H53))</x:f>
      </x:c>
      <x:c r="J53" s="26"/>
      <x:c r="K53" s="26"/>
      <x:c r="L53" s="28"/>
      <x:c r="M53" s="26"/>
      <x:c r="N53" s="55" t="str">
        <x:f>IF(A53="","",IF(COUNTIFS($B$11:$B$90,B53,$F$11:$F$90,"&lt;="&amp;G53,$G$11:$G$90,"&gt;="&amp;F53,$J$11:$J$90,"&lt;&gt;Declined",$J$11:$J$90,"&lt;&gt;Cancelled")&gt;1,"Overlap","Clear"))</x:f>
      </x:c>
      <x:c r="O53" s="55" t="str">
        <x:f>IF(A53="","",IF(OR(J53="Declined",J53="Cancelled"),"Not applicable",IF(COUNTIFS('EMPLOYEES'!$C$11:$C$60,D53,'EMPLOYEES'!$F$11:$F$60,"Active")-COUNTIFS($D$11:$D$90,D53,$F$11:$F$90,"&lt;="&amp;F53,$G$11:$G$90,"&gt;="&amp;F53,$J$11:$J$90,"Approved")-IF(J53="Pending",1,0)&lt;IFERROR(INDEX('SETUP'!$K$19:$K$23,MATCH(D53,'SETUP'!$J$19:$J$23,0)),0),"At Risk","Covered")))</x:f>
      </x:c>
      <x:c r="P53" s="55" t="str">
        <x:f>IF(A53="","",IF(OR(B53="",C53="",E53="",F53="",G53="",H53="",J53="",G53&lt;F53,I53&lt;=0,COUNTIF($A$11:$A$90,A53)&gt;1),"ERROR","PASS"))</x:f>
      </x:c>
      <x:c r="Q53" s="73" t="n">
        <x:f>IF(P53="ERROR",ROW()-10,IF(N53="Overlap",100+ROW()-10,IF(AND(O53="At Risk",OR(J53="Pending",AND(J53="Approved",F53&gt;='SETUP'!$D$13))),200+ROW()-10,IF(J53="Pending",300+ROW()-10,9999))))</x:f>
        <x:v>9999</x:v>
      </x:c>
      <x:c r="R53" s="4"/>
      <x:c r="S53" s="4"/>
      <x:c r="T53" s="4"/>
    </x:row>
    <x:row r="54">
      <x:c r="A54" s="26"/>
      <x:c r="B54" s="26"/>
      <x:c r="C54" s="55" t="str">
        <x:f>IF(B54="","",IFERROR(INDEX('EMPLOYEES'!$B$11:$B$60,MATCH(B54,'EMPLOYEES'!$A$11:$A$60,0)),""))</x:f>
      </x:c>
      <x:c r="D54" s="55" t="str">
        <x:f>IF(B54="","",IFERROR(INDEX('EMPLOYEES'!$C$11:$C$60,MATCH(B54,'EMPLOYEES'!$A$11:$A$60,0)),""))</x:f>
      </x:c>
      <x:c r="E54" s="26"/>
      <x:c r="F54" s="28"/>
      <x:c r="G54" s="28"/>
      <x:c r="H54" s="29"/>
      <x:c r="I54" s="68" t="str">
        <x:f>IF(OR(F54="",G54="",H54=""),"",MAX(0,NETWORKDAYS(F54,G54)*H54))</x:f>
      </x:c>
      <x:c r="J54" s="26"/>
      <x:c r="K54" s="26"/>
      <x:c r="L54" s="28"/>
      <x:c r="M54" s="26"/>
      <x:c r="N54" s="55" t="str">
        <x:f>IF(A54="","",IF(COUNTIFS($B$11:$B$90,B54,$F$11:$F$90,"&lt;="&amp;G54,$G$11:$G$90,"&gt;="&amp;F54,$J$11:$J$90,"&lt;&gt;Declined",$J$11:$J$90,"&lt;&gt;Cancelled")&gt;1,"Overlap","Clear"))</x:f>
      </x:c>
      <x:c r="O54" s="55" t="str">
        <x:f>IF(A54="","",IF(OR(J54="Declined",J54="Cancelled"),"Not applicable",IF(COUNTIFS('EMPLOYEES'!$C$11:$C$60,D54,'EMPLOYEES'!$F$11:$F$60,"Active")-COUNTIFS($D$11:$D$90,D54,$F$11:$F$90,"&lt;="&amp;F54,$G$11:$G$90,"&gt;="&amp;F54,$J$11:$J$90,"Approved")-IF(J54="Pending",1,0)&lt;IFERROR(INDEX('SETUP'!$K$19:$K$23,MATCH(D54,'SETUP'!$J$19:$J$23,0)),0),"At Risk","Covered")))</x:f>
      </x:c>
      <x:c r="P54" s="55" t="str">
        <x:f>IF(A54="","",IF(OR(B54="",C54="",E54="",F54="",G54="",H54="",J54="",G54&lt;F54,I54&lt;=0,COUNTIF($A$11:$A$90,A54)&gt;1),"ERROR","PASS"))</x:f>
      </x:c>
      <x:c r="Q54" s="73" t="n">
        <x:f>IF(P54="ERROR",ROW()-10,IF(N54="Overlap",100+ROW()-10,IF(AND(O54="At Risk",OR(J54="Pending",AND(J54="Approved",F54&gt;='SETUP'!$D$13))),200+ROW()-10,IF(J54="Pending",300+ROW()-10,9999))))</x:f>
        <x:v>9999</x:v>
      </x:c>
      <x:c r="R54" s="4"/>
      <x:c r="S54" s="4"/>
      <x:c r="T54" s="4"/>
    </x:row>
    <x:row r="55">
      <x:c r="A55" s="26"/>
      <x:c r="B55" s="26"/>
      <x:c r="C55" s="55" t="str">
        <x:f>IF(B55="","",IFERROR(INDEX('EMPLOYEES'!$B$11:$B$60,MATCH(B55,'EMPLOYEES'!$A$11:$A$60,0)),""))</x:f>
      </x:c>
      <x:c r="D55" s="55" t="str">
        <x:f>IF(B55="","",IFERROR(INDEX('EMPLOYEES'!$C$11:$C$60,MATCH(B55,'EMPLOYEES'!$A$11:$A$60,0)),""))</x:f>
      </x:c>
      <x:c r="E55" s="26"/>
      <x:c r="F55" s="28"/>
      <x:c r="G55" s="28"/>
      <x:c r="H55" s="29"/>
      <x:c r="I55" s="68" t="str">
        <x:f>IF(OR(F55="",G55="",H55=""),"",MAX(0,NETWORKDAYS(F55,G55)*H55))</x:f>
      </x:c>
      <x:c r="J55" s="26"/>
      <x:c r="K55" s="26"/>
      <x:c r="L55" s="28"/>
      <x:c r="M55" s="26"/>
      <x:c r="N55" s="55" t="str">
        <x:f>IF(A55="","",IF(COUNTIFS($B$11:$B$90,B55,$F$11:$F$90,"&lt;="&amp;G55,$G$11:$G$90,"&gt;="&amp;F55,$J$11:$J$90,"&lt;&gt;Declined",$J$11:$J$90,"&lt;&gt;Cancelled")&gt;1,"Overlap","Clear"))</x:f>
      </x:c>
      <x:c r="O55" s="55" t="str">
        <x:f>IF(A55="","",IF(OR(J55="Declined",J55="Cancelled"),"Not applicable",IF(COUNTIFS('EMPLOYEES'!$C$11:$C$60,D55,'EMPLOYEES'!$F$11:$F$60,"Active")-COUNTIFS($D$11:$D$90,D55,$F$11:$F$90,"&lt;="&amp;F55,$G$11:$G$90,"&gt;="&amp;F55,$J$11:$J$90,"Approved")-IF(J55="Pending",1,0)&lt;IFERROR(INDEX('SETUP'!$K$19:$K$23,MATCH(D55,'SETUP'!$J$19:$J$23,0)),0),"At Risk","Covered")))</x:f>
      </x:c>
      <x:c r="P55" s="55" t="str">
        <x:f>IF(A55="","",IF(OR(B55="",C55="",E55="",F55="",G55="",H55="",J55="",G55&lt;F55,I55&lt;=0,COUNTIF($A$11:$A$90,A55)&gt;1),"ERROR","PASS"))</x:f>
      </x:c>
      <x:c r="Q55" s="73" t="n">
        <x:f>IF(P55="ERROR",ROW()-10,IF(N55="Overlap",100+ROW()-10,IF(AND(O55="At Risk",OR(J55="Pending",AND(J55="Approved",F55&gt;='SETUP'!$D$13))),200+ROW()-10,IF(J55="Pending",300+ROW()-10,9999))))</x:f>
        <x:v>9999</x:v>
      </x:c>
      <x:c r="R55" s="4"/>
      <x:c r="S55" s="4"/>
      <x:c r="T55" s="4"/>
    </x:row>
    <x:row r="56">
      <x:c r="A56" s="26"/>
      <x:c r="B56" s="26"/>
      <x:c r="C56" s="55" t="str">
        <x:f>IF(B56="","",IFERROR(INDEX('EMPLOYEES'!$B$11:$B$60,MATCH(B56,'EMPLOYEES'!$A$11:$A$60,0)),""))</x:f>
      </x:c>
      <x:c r="D56" s="55" t="str">
        <x:f>IF(B56="","",IFERROR(INDEX('EMPLOYEES'!$C$11:$C$60,MATCH(B56,'EMPLOYEES'!$A$11:$A$60,0)),""))</x:f>
      </x:c>
      <x:c r="E56" s="26"/>
      <x:c r="F56" s="28"/>
      <x:c r="G56" s="28"/>
      <x:c r="H56" s="29"/>
      <x:c r="I56" s="68" t="str">
        <x:f>IF(OR(F56="",G56="",H56=""),"",MAX(0,NETWORKDAYS(F56,G56)*H56))</x:f>
      </x:c>
      <x:c r="J56" s="26"/>
      <x:c r="K56" s="26"/>
      <x:c r="L56" s="28"/>
      <x:c r="M56" s="26"/>
      <x:c r="N56" s="55" t="str">
        <x:f>IF(A56="","",IF(COUNTIFS($B$11:$B$90,B56,$F$11:$F$90,"&lt;="&amp;G56,$G$11:$G$90,"&gt;="&amp;F56,$J$11:$J$90,"&lt;&gt;Declined",$J$11:$J$90,"&lt;&gt;Cancelled")&gt;1,"Overlap","Clear"))</x:f>
      </x:c>
      <x:c r="O56" s="55" t="str">
        <x:f>IF(A56="","",IF(OR(J56="Declined",J56="Cancelled"),"Not applicable",IF(COUNTIFS('EMPLOYEES'!$C$11:$C$60,D56,'EMPLOYEES'!$F$11:$F$60,"Active")-COUNTIFS($D$11:$D$90,D56,$F$11:$F$90,"&lt;="&amp;F56,$G$11:$G$90,"&gt;="&amp;F56,$J$11:$J$90,"Approved")-IF(J56="Pending",1,0)&lt;IFERROR(INDEX('SETUP'!$K$19:$K$23,MATCH(D56,'SETUP'!$J$19:$J$23,0)),0),"At Risk","Covered")))</x:f>
      </x:c>
      <x:c r="P56" s="55" t="str">
        <x:f>IF(A56="","",IF(OR(B56="",C56="",E56="",F56="",G56="",H56="",J56="",G56&lt;F56,I56&lt;=0,COUNTIF($A$11:$A$90,A56)&gt;1),"ERROR","PASS"))</x:f>
      </x:c>
      <x:c r="Q56" s="73" t="n">
        <x:f>IF(P56="ERROR",ROW()-10,IF(N56="Overlap",100+ROW()-10,IF(AND(O56="At Risk",OR(J56="Pending",AND(J56="Approved",F56&gt;='SETUP'!$D$13))),200+ROW()-10,IF(J56="Pending",300+ROW()-10,9999))))</x:f>
        <x:v>9999</x:v>
      </x:c>
      <x:c r="R56" s="4"/>
      <x:c r="S56" s="4"/>
      <x:c r="T56" s="4"/>
    </x:row>
    <x:row r="57">
      <x:c r="A57" s="26"/>
      <x:c r="B57" s="26"/>
      <x:c r="C57" s="55" t="str">
        <x:f>IF(B57="","",IFERROR(INDEX('EMPLOYEES'!$B$11:$B$60,MATCH(B57,'EMPLOYEES'!$A$11:$A$60,0)),""))</x:f>
      </x:c>
      <x:c r="D57" s="55" t="str">
        <x:f>IF(B57="","",IFERROR(INDEX('EMPLOYEES'!$C$11:$C$60,MATCH(B57,'EMPLOYEES'!$A$11:$A$60,0)),""))</x:f>
      </x:c>
      <x:c r="E57" s="26"/>
      <x:c r="F57" s="28"/>
      <x:c r="G57" s="28"/>
      <x:c r="H57" s="29"/>
      <x:c r="I57" s="68" t="str">
        <x:f>IF(OR(F57="",G57="",H57=""),"",MAX(0,NETWORKDAYS(F57,G57)*H57))</x:f>
      </x:c>
      <x:c r="J57" s="26"/>
      <x:c r="K57" s="26"/>
      <x:c r="L57" s="28"/>
      <x:c r="M57" s="26"/>
      <x:c r="N57" s="55" t="str">
        <x:f>IF(A57="","",IF(COUNTIFS($B$11:$B$90,B57,$F$11:$F$90,"&lt;="&amp;G57,$G$11:$G$90,"&gt;="&amp;F57,$J$11:$J$90,"&lt;&gt;Declined",$J$11:$J$90,"&lt;&gt;Cancelled")&gt;1,"Overlap","Clear"))</x:f>
      </x:c>
      <x:c r="O57" s="55" t="str">
        <x:f>IF(A57="","",IF(OR(J57="Declined",J57="Cancelled"),"Not applicable",IF(COUNTIFS('EMPLOYEES'!$C$11:$C$60,D57,'EMPLOYEES'!$F$11:$F$60,"Active")-COUNTIFS($D$11:$D$90,D57,$F$11:$F$90,"&lt;="&amp;F57,$G$11:$G$90,"&gt;="&amp;F57,$J$11:$J$90,"Approved")-IF(J57="Pending",1,0)&lt;IFERROR(INDEX('SETUP'!$K$19:$K$23,MATCH(D57,'SETUP'!$J$19:$J$23,0)),0),"At Risk","Covered")))</x:f>
      </x:c>
      <x:c r="P57" s="55" t="str">
        <x:f>IF(A57="","",IF(OR(B57="",C57="",E57="",F57="",G57="",H57="",J57="",G57&lt;F57,I57&lt;=0,COUNTIF($A$11:$A$90,A57)&gt;1),"ERROR","PASS"))</x:f>
      </x:c>
      <x:c r="Q57" s="73" t="n">
        <x:f>IF(P57="ERROR",ROW()-10,IF(N57="Overlap",100+ROW()-10,IF(AND(O57="At Risk",OR(J57="Pending",AND(J57="Approved",F57&gt;='SETUP'!$D$13))),200+ROW()-10,IF(J57="Pending",300+ROW()-10,9999))))</x:f>
        <x:v>9999</x:v>
      </x:c>
      <x:c r="R57" s="4"/>
      <x:c r="S57" s="4"/>
      <x:c r="T57" s="4"/>
    </x:row>
    <x:row r="58">
      <x:c r="A58" s="26"/>
      <x:c r="B58" s="26"/>
      <x:c r="C58" s="55" t="str">
        <x:f>IF(B58="","",IFERROR(INDEX('EMPLOYEES'!$B$11:$B$60,MATCH(B58,'EMPLOYEES'!$A$11:$A$60,0)),""))</x:f>
      </x:c>
      <x:c r="D58" s="55" t="str">
        <x:f>IF(B58="","",IFERROR(INDEX('EMPLOYEES'!$C$11:$C$60,MATCH(B58,'EMPLOYEES'!$A$11:$A$60,0)),""))</x:f>
      </x:c>
      <x:c r="E58" s="26"/>
      <x:c r="F58" s="28"/>
      <x:c r="G58" s="28"/>
      <x:c r="H58" s="29"/>
      <x:c r="I58" s="68" t="str">
        <x:f>IF(OR(F58="",G58="",H58=""),"",MAX(0,NETWORKDAYS(F58,G58)*H58))</x:f>
      </x:c>
      <x:c r="J58" s="26"/>
      <x:c r="K58" s="26"/>
      <x:c r="L58" s="28"/>
      <x:c r="M58" s="26"/>
      <x:c r="N58" s="55" t="str">
        <x:f>IF(A58="","",IF(COUNTIFS($B$11:$B$90,B58,$F$11:$F$90,"&lt;="&amp;G58,$G$11:$G$90,"&gt;="&amp;F58,$J$11:$J$90,"&lt;&gt;Declined",$J$11:$J$90,"&lt;&gt;Cancelled")&gt;1,"Overlap","Clear"))</x:f>
      </x:c>
      <x:c r="O58" s="55" t="str">
        <x:f>IF(A58="","",IF(OR(J58="Declined",J58="Cancelled"),"Not applicable",IF(COUNTIFS('EMPLOYEES'!$C$11:$C$60,D58,'EMPLOYEES'!$F$11:$F$60,"Active")-COUNTIFS($D$11:$D$90,D58,$F$11:$F$90,"&lt;="&amp;F58,$G$11:$G$90,"&gt;="&amp;F58,$J$11:$J$90,"Approved")-IF(J58="Pending",1,0)&lt;IFERROR(INDEX('SETUP'!$K$19:$K$23,MATCH(D58,'SETUP'!$J$19:$J$23,0)),0),"At Risk","Covered")))</x:f>
      </x:c>
      <x:c r="P58" s="55" t="str">
        <x:f>IF(A58="","",IF(OR(B58="",C58="",E58="",F58="",G58="",H58="",J58="",G58&lt;F58,I58&lt;=0,COUNTIF($A$11:$A$90,A58)&gt;1),"ERROR","PASS"))</x:f>
      </x:c>
      <x:c r="Q58" s="73" t="n">
        <x:f>IF(P58="ERROR",ROW()-10,IF(N58="Overlap",100+ROW()-10,IF(AND(O58="At Risk",OR(J58="Pending",AND(J58="Approved",F58&gt;='SETUP'!$D$13))),200+ROW()-10,IF(J58="Pending",300+ROW()-10,9999))))</x:f>
        <x:v>9999</x:v>
      </x:c>
      <x:c r="R58" s="4"/>
      <x:c r="S58" s="4"/>
      <x:c r="T58" s="4"/>
    </x:row>
    <x:row r="59">
      <x:c r="A59" s="26"/>
      <x:c r="B59" s="26"/>
      <x:c r="C59" s="55" t="str">
        <x:f>IF(B59="","",IFERROR(INDEX('EMPLOYEES'!$B$11:$B$60,MATCH(B59,'EMPLOYEES'!$A$11:$A$60,0)),""))</x:f>
      </x:c>
      <x:c r="D59" s="55" t="str">
        <x:f>IF(B59="","",IFERROR(INDEX('EMPLOYEES'!$C$11:$C$60,MATCH(B59,'EMPLOYEES'!$A$11:$A$60,0)),""))</x:f>
      </x:c>
      <x:c r="E59" s="26"/>
      <x:c r="F59" s="28"/>
      <x:c r="G59" s="28"/>
      <x:c r="H59" s="29"/>
      <x:c r="I59" s="68" t="str">
        <x:f>IF(OR(F59="",G59="",H59=""),"",MAX(0,NETWORKDAYS(F59,G59)*H59))</x:f>
      </x:c>
      <x:c r="J59" s="26"/>
      <x:c r="K59" s="26"/>
      <x:c r="L59" s="28"/>
      <x:c r="M59" s="26"/>
      <x:c r="N59" s="55" t="str">
        <x:f>IF(A59="","",IF(COUNTIFS($B$11:$B$90,B59,$F$11:$F$90,"&lt;="&amp;G59,$G$11:$G$90,"&gt;="&amp;F59,$J$11:$J$90,"&lt;&gt;Declined",$J$11:$J$90,"&lt;&gt;Cancelled")&gt;1,"Overlap","Clear"))</x:f>
      </x:c>
      <x:c r="O59" s="55" t="str">
        <x:f>IF(A59="","",IF(OR(J59="Declined",J59="Cancelled"),"Not applicable",IF(COUNTIFS('EMPLOYEES'!$C$11:$C$60,D59,'EMPLOYEES'!$F$11:$F$60,"Active")-COUNTIFS($D$11:$D$90,D59,$F$11:$F$90,"&lt;="&amp;F59,$G$11:$G$90,"&gt;="&amp;F59,$J$11:$J$90,"Approved")-IF(J59="Pending",1,0)&lt;IFERROR(INDEX('SETUP'!$K$19:$K$23,MATCH(D59,'SETUP'!$J$19:$J$23,0)),0),"At Risk","Covered")))</x:f>
      </x:c>
      <x:c r="P59" s="55" t="str">
        <x:f>IF(A59="","",IF(OR(B59="",C59="",E59="",F59="",G59="",H59="",J59="",G59&lt;F59,I59&lt;=0,COUNTIF($A$11:$A$90,A59)&gt;1),"ERROR","PASS"))</x:f>
      </x:c>
      <x:c r="Q59" s="73" t="n">
        <x:f>IF(P59="ERROR",ROW()-10,IF(N59="Overlap",100+ROW()-10,IF(AND(O59="At Risk",OR(J59="Pending",AND(J59="Approved",F59&gt;='SETUP'!$D$13))),200+ROW()-10,IF(J59="Pending",300+ROW()-10,9999))))</x:f>
        <x:v>9999</x:v>
      </x:c>
      <x:c r="R59" s="4"/>
      <x:c r="S59" s="4"/>
      <x:c r="T59" s="4"/>
    </x:row>
    <x:row r="60">
      <x:c r="A60" s="26"/>
      <x:c r="B60" s="26"/>
      <x:c r="C60" s="55" t="str">
        <x:f>IF(B60="","",IFERROR(INDEX('EMPLOYEES'!$B$11:$B$60,MATCH(B60,'EMPLOYEES'!$A$11:$A$60,0)),""))</x:f>
      </x:c>
      <x:c r="D60" s="55" t="str">
        <x:f>IF(B60="","",IFERROR(INDEX('EMPLOYEES'!$C$11:$C$60,MATCH(B60,'EMPLOYEES'!$A$11:$A$60,0)),""))</x:f>
      </x:c>
      <x:c r="E60" s="26"/>
      <x:c r="F60" s="28"/>
      <x:c r="G60" s="28"/>
      <x:c r="H60" s="29"/>
      <x:c r="I60" s="68" t="str">
        <x:f>IF(OR(F60="",G60="",H60=""),"",MAX(0,NETWORKDAYS(F60,G60)*H60))</x:f>
      </x:c>
      <x:c r="J60" s="26"/>
      <x:c r="K60" s="26"/>
      <x:c r="L60" s="28"/>
      <x:c r="M60" s="26"/>
      <x:c r="N60" s="55" t="str">
        <x:f>IF(A60="","",IF(COUNTIFS($B$11:$B$90,B60,$F$11:$F$90,"&lt;="&amp;G60,$G$11:$G$90,"&gt;="&amp;F60,$J$11:$J$90,"&lt;&gt;Declined",$J$11:$J$90,"&lt;&gt;Cancelled")&gt;1,"Overlap","Clear"))</x:f>
      </x:c>
      <x:c r="O60" s="55" t="str">
        <x:f>IF(A60="","",IF(OR(J60="Declined",J60="Cancelled"),"Not applicable",IF(COUNTIFS('EMPLOYEES'!$C$11:$C$60,D60,'EMPLOYEES'!$F$11:$F$60,"Active")-COUNTIFS($D$11:$D$90,D60,$F$11:$F$90,"&lt;="&amp;F60,$G$11:$G$90,"&gt;="&amp;F60,$J$11:$J$90,"Approved")-IF(J60="Pending",1,0)&lt;IFERROR(INDEX('SETUP'!$K$19:$K$23,MATCH(D60,'SETUP'!$J$19:$J$23,0)),0),"At Risk","Covered")))</x:f>
      </x:c>
      <x:c r="P60" s="55" t="str">
        <x:f>IF(A60="","",IF(OR(B60="",C60="",E60="",F60="",G60="",H60="",J60="",G60&lt;F60,I60&lt;=0,COUNTIF($A$11:$A$90,A60)&gt;1),"ERROR","PASS"))</x:f>
      </x:c>
      <x:c r="Q60" s="73" t="n">
        <x:f>IF(P60="ERROR",ROW()-10,IF(N60="Overlap",100+ROW()-10,IF(AND(O60="At Risk",OR(J60="Pending",AND(J60="Approved",F60&gt;='SETUP'!$D$13))),200+ROW()-10,IF(J60="Pending",300+ROW()-10,9999))))</x:f>
        <x:v>9999</x:v>
      </x:c>
      <x:c r="R60" s="4"/>
      <x:c r="S60" s="4"/>
      <x:c r="T60" s="4"/>
    </x:row>
    <x:row r="61">
      <x:c r="A61" s="26"/>
      <x:c r="B61" s="26"/>
      <x:c r="C61" s="55" t="str">
        <x:f>IF(B61="","",IFERROR(INDEX('EMPLOYEES'!$B$11:$B$60,MATCH(B61,'EMPLOYEES'!$A$11:$A$60,0)),""))</x:f>
      </x:c>
      <x:c r="D61" s="55" t="str">
        <x:f>IF(B61="","",IFERROR(INDEX('EMPLOYEES'!$C$11:$C$60,MATCH(B61,'EMPLOYEES'!$A$11:$A$60,0)),""))</x:f>
      </x:c>
      <x:c r="E61" s="26"/>
      <x:c r="F61" s="28"/>
      <x:c r="G61" s="28"/>
      <x:c r="H61" s="29"/>
      <x:c r="I61" s="68" t="str">
        <x:f>IF(OR(F61="",G61="",H61=""),"",MAX(0,NETWORKDAYS(F61,G61)*H61))</x:f>
      </x:c>
      <x:c r="J61" s="26"/>
      <x:c r="K61" s="26"/>
      <x:c r="L61" s="28"/>
      <x:c r="M61" s="26"/>
      <x:c r="N61" s="55" t="str">
        <x:f>IF(A61="","",IF(COUNTIFS($B$11:$B$90,B61,$F$11:$F$90,"&lt;="&amp;G61,$G$11:$G$90,"&gt;="&amp;F61,$J$11:$J$90,"&lt;&gt;Declined",$J$11:$J$90,"&lt;&gt;Cancelled")&gt;1,"Overlap","Clear"))</x:f>
      </x:c>
      <x:c r="O61" s="55" t="str">
        <x:f>IF(A61="","",IF(OR(J61="Declined",J61="Cancelled"),"Not applicable",IF(COUNTIFS('EMPLOYEES'!$C$11:$C$60,D61,'EMPLOYEES'!$F$11:$F$60,"Active")-COUNTIFS($D$11:$D$90,D61,$F$11:$F$90,"&lt;="&amp;F61,$G$11:$G$90,"&gt;="&amp;F61,$J$11:$J$90,"Approved")-IF(J61="Pending",1,0)&lt;IFERROR(INDEX('SETUP'!$K$19:$K$23,MATCH(D61,'SETUP'!$J$19:$J$23,0)),0),"At Risk","Covered")))</x:f>
      </x:c>
      <x:c r="P61" s="55" t="str">
        <x:f>IF(A61="","",IF(OR(B61="",C61="",E61="",F61="",G61="",H61="",J61="",G61&lt;F61,I61&lt;=0,COUNTIF($A$11:$A$90,A61)&gt;1),"ERROR","PASS"))</x:f>
      </x:c>
      <x:c r="Q61" s="73" t="n">
        <x:f>IF(P61="ERROR",ROW()-10,IF(N61="Overlap",100+ROW()-10,IF(AND(O61="At Risk",OR(J61="Pending",AND(J61="Approved",F61&gt;='SETUP'!$D$13))),200+ROW()-10,IF(J61="Pending",300+ROW()-10,9999))))</x:f>
        <x:v>9999</x:v>
      </x:c>
      <x:c r="R61" s="4"/>
      <x:c r="S61" s="4"/>
      <x:c r="T61" s="4"/>
    </x:row>
    <x:row r="62">
      <x:c r="A62" s="26"/>
      <x:c r="B62" s="26"/>
      <x:c r="C62" s="55" t="str">
        <x:f>IF(B62="","",IFERROR(INDEX('EMPLOYEES'!$B$11:$B$60,MATCH(B62,'EMPLOYEES'!$A$11:$A$60,0)),""))</x:f>
      </x:c>
      <x:c r="D62" s="55" t="str">
        <x:f>IF(B62="","",IFERROR(INDEX('EMPLOYEES'!$C$11:$C$60,MATCH(B62,'EMPLOYEES'!$A$11:$A$60,0)),""))</x:f>
      </x:c>
      <x:c r="E62" s="26"/>
      <x:c r="F62" s="28"/>
      <x:c r="G62" s="28"/>
      <x:c r="H62" s="29"/>
      <x:c r="I62" s="68" t="str">
        <x:f>IF(OR(F62="",G62="",H62=""),"",MAX(0,NETWORKDAYS(F62,G62)*H62))</x:f>
      </x:c>
      <x:c r="J62" s="26"/>
      <x:c r="K62" s="26"/>
      <x:c r="L62" s="28"/>
      <x:c r="M62" s="26"/>
      <x:c r="N62" s="55" t="str">
        <x:f>IF(A62="","",IF(COUNTIFS($B$11:$B$90,B62,$F$11:$F$90,"&lt;="&amp;G62,$G$11:$G$90,"&gt;="&amp;F62,$J$11:$J$90,"&lt;&gt;Declined",$J$11:$J$90,"&lt;&gt;Cancelled")&gt;1,"Overlap","Clear"))</x:f>
      </x:c>
      <x:c r="O62" s="55" t="str">
        <x:f>IF(A62="","",IF(OR(J62="Declined",J62="Cancelled"),"Not applicable",IF(COUNTIFS('EMPLOYEES'!$C$11:$C$60,D62,'EMPLOYEES'!$F$11:$F$60,"Active")-COUNTIFS($D$11:$D$90,D62,$F$11:$F$90,"&lt;="&amp;F62,$G$11:$G$90,"&gt;="&amp;F62,$J$11:$J$90,"Approved")-IF(J62="Pending",1,0)&lt;IFERROR(INDEX('SETUP'!$K$19:$K$23,MATCH(D62,'SETUP'!$J$19:$J$23,0)),0),"At Risk","Covered")))</x:f>
      </x:c>
      <x:c r="P62" s="55" t="str">
        <x:f>IF(A62="","",IF(OR(B62="",C62="",E62="",F62="",G62="",H62="",J62="",G62&lt;F62,I62&lt;=0,COUNTIF($A$11:$A$90,A62)&gt;1),"ERROR","PASS"))</x:f>
      </x:c>
      <x:c r="Q62" s="73" t="n">
        <x:f>IF(P62="ERROR",ROW()-10,IF(N62="Overlap",100+ROW()-10,IF(AND(O62="At Risk",OR(J62="Pending",AND(J62="Approved",F62&gt;='SETUP'!$D$13))),200+ROW()-10,IF(J62="Pending",300+ROW()-10,9999))))</x:f>
        <x:v>9999</x:v>
      </x:c>
      <x:c r="R62" s="4"/>
      <x:c r="S62" s="4"/>
      <x:c r="T62" s="4"/>
    </x:row>
    <x:row r="63">
      <x:c r="A63" s="26"/>
      <x:c r="B63" s="26"/>
      <x:c r="C63" s="55" t="str">
        <x:f>IF(B63="","",IFERROR(INDEX('EMPLOYEES'!$B$11:$B$60,MATCH(B63,'EMPLOYEES'!$A$11:$A$60,0)),""))</x:f>
      </x:c>
      <x:c r="D63" s="55" t="str">
        <x:f>IF(B63="","",IFERROR(INDEX('EMPLOYEES'!$C$11:$C$60,MATCH(B63,'EMPLOYEES'!$A$11:$A$60,0)),""))</x:f>
      </x:c>
      <x:c r="E63" s="26"/>
      <x:c r="F63" s="28"/>
      <x:c r="G63" s="28"/>
      <x:c r="H63" s="29"/>
      <x:c r="I63" s="68" t="str">
        <x:f>IF(OR(F63="",G63="",H63=""),"",MAX(0,NETWORKDAYS(F63,G63)*H63))</x:f>
      </x:c>
      <x:c r="J63" s="26"/>
      <x:c r="K63" s="26"/>
      <x:c r="L63" s="28"/>
      <x:c r="M63" s="26"/>
      <x:c r="N63" s="55" t="str">
        <x:f>IF(A63="","",IF(COUNTIFS($B$11:$B$90,B63,$F$11:$F$90,"&lt;="&amp;G63,$G$11:$G$90,"&gt;="&amp;F63,$J$11:$J$90,"&lt;&gt;Declined",$J$11:$J$90,"&lt;&gt;Cancelled")&gt;1,"Overlap","Clear"))</x:f>
      </x:c>
      <x:c r="O63" s="55" t="str">
        <x:f>IF(A63="","",IF(OR(J63="Declined",J63="Cancelled"),"Not applicable",IF(COUNTIFS('EMPLOYEES'!$C$11:$C$60,D63,'EMPLOYEES'!$F$11:$F$60,"Active")-COUNTIFS($D$11:$D$90,D63,$F$11:$F$90,"&lt;="&amp;F63,$G$11:$G$90,"&gt;="&amp;F63,$J$11:$J$90,"Approved")-IF(J63="Pending",1,0)&lt;IFERROR(INDEX('SETUP'!$K$19:$K$23,MATCH(D63,'SETUP'!$J$19:$J$23,0)),0),"At Risk","Covered")))</x:f>
      </x:c>
      <x:c r="P63" s="55" t="str">
        <x:f>IF(A63="","",IF(OR(B63="",C63="",E63="",F63="",G63="",H63="",J63="",G63&lt;F63,I63&lt;=0,COUNTIF($A$11:$A$90,A63)&gt;1),"ERROR","PASS"))</x:f>
      </x:c>
      <x:c r="Q63" s="73" t="n">
        <x:f>IF(P63="ERROR",ROW()-10,IF(N63="Overlap",100+ROW()-10,IF(AND(O63="At Risk",OR(J63="Pending",AND(J63="Approved",F63&gt;='SETUP'!$D$13))),200+ROW()-10,IF(J63="Pending",300+ROW()-10,9999))))</x:f>
        <x:v>9999</x:v>
      </x:c>
      <x:c r="R63" s="4"/>
      <x:c r="S63" s="4"/>
      <x:c r="T63" s="4"/>
    </x:row>
    <x:row r="64">
      <x:c r="A64" s="26"/>
      <x:c r="B64" s="26"/>
      <x:c r="C64" s="55" t="str">
        <x:f>IF(B64="","",IFERROR(INDEX('EMPLOYEES'!$B$11:$B$60,MATCH(B64,'EMPLOYEES'!$A$11:$A$60,0)),""))</x:f>
      </x:c>
      <x:c r="D64" s="55" t="str">
        <x:f>IF(B64="","",IFERROR(INDEX('EMPLOYEES'!$C$11:$C$60,MATCH(B64,'EMPLOYEES'!$A$11:$A$60,0)),""))</x:f>
      </x:c>
      <x:c r="E64" s="26"/>
      <x:c r="F64" s="28"/>
      <x:c r="G64" s="28"/>
      <x:c r="H64" s="29"/>
      <x:c r="I64" s="68" t="str">
        <x:f>IF(OR(F64="",G64="",H64=""),"",MAX(0,NETWORKDAYS(F64,G64)*H64))</x:f>
      </x:c>
      <x:c r="J64" s="26"/>
      <x:c r="K64" s="26"/>
      <x:c r="L64" s="28"/>
      <x:c r="M64" s="26"/>
      <x:c r="N64" s="55" t="str">
        <x:f>IF(A64="","",IF(COUNTIFS($B$11:$B$90,B64,$F$11:$F$90,"&lt;="&amp;G64,$G$11:$G$90,"&gt;="&amp;F64,$J$11:$J$90,"&lt;&gt;Declined",$J$11:$J$90,"&lt;&gt;Cancelled")&gt;1,"Overlap","Clear"))</x:f>
      </x:c>
      <x:c r="O64" s="55" t="str">
        <x:f>IF(A64="","",IF(OR(J64="Declined",J64="Cancelled"),"Not applicable",IF(COUNTIFS('EMPLOYEES'!$C$11:$C$60,D64,'EMPLOYEES'!$F$11:$F$60,"Active")-COUNTIFS($D$11:$D$90,D64,$F$11:$F$90,"&lt;="&amp;F64,$G$11:$G$90,"&gt;="&amp;F64,$J$11:$J$90,"Approved")-IF(J64="Pending",1,0)&lt;IFERROR(INDEX('SETUP'!$K$19:$K$23,MATCH(D64,'SETUP'!$J$19:$J$23,0)),0),"At Risk","Covered")))</x:f>
      </x:c>
      <x:c r="P64" s="55" t="str">
        <x:f>IF(A64="","",IF(OR(B64="",C64="",E64="",F64="",G64="",H64="",J64="",G64&lt;F64,I64&lt;=0,COUNTIF($A$11:$A$90,A64)&gt;1),"ERROR","PASS"))</x:f>
      </x:c>
      <x:c r="Q64" s="73" t="n">
        <x:f>IF(P64="ERROR",ROW()-10,IF(N64="Overlap",100+ROW()-10,IF(AND(O64="At Risk",OR(J64="Pending",AND(J64="Approved",F64&gt;='SETUP'!$D$13))),200+ROW()-10,IF(J64="Pending",300+ROW()-10,9999))))</x:f>
        <x:v>9999</x:v>
      </x:c>
      <x:c r="R64" s="4"/>
      <x:c r="S64" s="4"/>
      <x:c r="T64" s="4"/>
    </x:row>
    <x:row r="65">
      <x:c r="A65" s="26"/>
      <x:c r="B65" s="26"/>
      <x:c r="C65" s="55" t="str">
        <x:f>IF(B65="","",IFERROR(INDEX('EMPLOYEES'!$B$11:$B$60,MATCH(B65,'EMPLOYEES'!$A$11:$A$60,0)),""))</x:f>
      </x:c>
      <x:c r="D65" s="55" t="str">
        <x:f>IF(B65="","",IFERROR(INDEX('EMPLOYEES'!$C$11:$C$60,MATCH(B65,'EMPLOYEES'!$A$11:$A$60,0)),""))</x:f>
      </x:c>
      <x:c r="E65" s="26"/>
      <x:c r="F65" s="28"/>
      <x:c r="G65" s="28"/>
      <x:c r="H65" s="29"/>
      <x:c r="I65" s="68" t="str">
        <x:f>IF(OR(F65="",G65="",H65=""),"",MAX(0,NETWORKDAYS(F65,G65)*H65))</x:f>
      </x:c>
      <x:c r="J65" s="26"/>
      <x:c r="K65" s="26"/>
      <x:c r="L65" s="28"/>
      <x:c r="M65" s="26"/>
      <x:c r="N65" s="55" t="str">
        <x:f>IF(A65="","",IF(COUNTIFS($B$11:$B$90,B65,$F$11:$F$90,"&lt;="&amp;G65,$G$11:$G$90,"&gt;="&amp;F65,$J$11:$J$90,"&lt;&gt;Declined",$J$11:$J$90,"&lt;&gt;Cancelled")&gt;1,"Overlap","Clear"))</x:f>
      </x:c>
      <x:c r="O65" s="55" t="str">
        <x:f>IF(A65="","",IF(OR(J65="Declined",J65="Cancelled"),"Not applicable",IF(COUNTIFS('EMPLOYEES'!$C$11:$C$60,D65,'EMPLOYEES'!$F$11:$F$60,"Active")-COUNTIFS($D$11:$D$90,D65,$F$11:$F$90,"&lt;="&amp;F65,$G$11:$G$90,"&gt;="&amp;F65,$J$11:$J$90,"Approved")-IF(J65="Pending",1,0)&lt;IFERROR(INDEX('SETUP'!$K$19:$K$23,MATCH(D65,'SETUP'!$J$19:$J$23,0)),0),"At Risk","Covered")))</x:f>
      </x:c>
      <x:c r="P65" s="55" t="str">
        <x:f>IF(A65="","",IF(OR(B65="",C65="",E65="",F65="",G65="",H65="",J65="",G65&lt;F65,I65&lt;=0,COUNTIF($A$11:$A$90,A65)&gt;1),"ERROR","PASS"))</x:f>
      </x:c>
      <x:c r="Q65" s="73" t="n">
        <x:f>IF(P65="ERROR",ROW()-10,IF(N65="Overlap",100+ROW()-10,IF(AND(O65="At Risk",OR(J65="Pending",AND(J65="Approved",F65&gt;='SETUP'!$D$13))),200+ROW()-10,IF(J65="Pending",300+ROW()-10,9999))))</x:f>
        <x:v>9999</x:v>
      </x:c>
      <x:c r="R65" s="4"/>
      <x:c r="S65" s="4"/>
      <x:c r="T65" s="4"/>
    </x:row>
    <x:row r="66">
      <x:c r="A66" s="26"/>
      <x:c r="B66" s="26"/>
      <x:c r="C66" s="55" t="str">
        <x:f>IF(B66="","",IFERROR(INDEX('EMPLOYEES'!$B$11:$B$60,MATCH(B66,'EMPLOYEES'!$A$11:$A$60,0)),""))</x:f>
      </x:c>
      <x:c r="D66" s="55" t="str">
        <x:f>IF(B66="","",IFERROR(INDEX('EMPLOYEES'!$C$11:$C$60,MATCH(B66,'EMPLOYEES'!$A$11:$A$60,0)),""))</x:f>
      </x:c>
      <x:c r="E66" s="26"/>
      <x:c r="F66" s="28"/>
      <x:c r="G66" s="28"/>
      <x:c r="H66" s="29"/>
      <x:c r="I66" s="68" t="str">
        <x:f>IF(OR(F66="",G66="",H66=""),"",MAX(0,NETWORKDAYS(F66,G66)*H66))</x:f>
      </x:c>
      <x:c r="J66" s="26"/>
      <x:c r="K66" s="26"/>
      <x:c r="L66" s="28"/>
      <x:c r="M66" s="26"/>
      <x:c r="N66" s="55" t="str">
        <x:f>IF(A66="","",IF(COUNTIFS($B$11:$B$90,B66,$F$11:$F$90,"&lt;="&amp;G66,$G$11:$G$90,"&gt;="&amp;F66,$J$11:$J$90,"&lt;&gt;Declined",$J$11:$J$90,"&lt;&gt;Cancelled")&gt;1,"Overlap","Clear"))</x:f>
      </x:c>
      <x:c r="O66" s="55" t="str">
        <x:f>IF(A66="","",IF(OR(J66="Declined",J66="Cancelled"),"Not applicable",IF(COUNTIFS('EMPLOYEES'!$C$11:$C$60,D66,'EMPLOYEES'!$F$11:$F$60,"Active")-COUNTIFS($D$11:$D$90,D66,$F$11:$F$90,"&lt;="&amp;F66,$G$11:$G$90,"&gt;="&amp;F66,$J$11:$J$90,"Approved")-IF(J66="Pending",1,0)&lt;IFERROR(INDEX('SETUP'!$K$19:$K$23,MATCH(D66,'SETUP'!$J$19:$J$23,0)),0),"At Risk","Covered")))</x:f>
      </x:c>
      <x:c r="P66" s="55" t="str">
        <x:f>IF(A66="","",IF(OR(B66="",C66="",E66="",F66="",G66="",H66="",J66="",G66&lt;F66,I66&lt;=0,COUNTIF($A$11:$A$90,A66)&gt;1),"ERROR","PASS"))</x:f>
      </x:c>
      <x:c r="Q66" s="73" t="n">
        <x:f>IF(P66="ERROR",ROW()-10,IF(N66="Overlap",100+ROW()-10,IF(AND(O66="At Risk",OR(J66="Pending",AND(J66="Approved",F66&gt;='SETUP'!$D$13))),200+ROW()-10,IF(J66="Pending",300+ROW()-10,9999))))</x:f>
        <x:v>9999</x:v>
      </x:c>
      <x:c r="R66" s="4"/>
      <x:c r="S66" s="4"/>
      <x:c r="T66" s="4"/>
    </x:row>
    <x:row r="67">
      <x:c r="A67" s="26"/>
      <x:c r="B67" s="26"/>
      <x:c r="C67" s="55" t="str">
        <x:f>IF(B67="","",IFERROR(INDEX('EMPLOYEES'!$B$11:$B$60,MATCH(B67,'EMPLOYEES'!$A$11:$A$60,0)),""))</x:f>
      </x:c>
      <x:c r="D67" s="55" t="str">
        <x:f>IF(B67="","",IFERROR(INDEX('EMPLOYEES'!$C$11:$C$60,MATCH(B67,'EMPLOYEES'!$A$11:$A$60,0)),""))</x:f>
      </x:c>
      <x:c r="E67" s="26"/>
      <x:c r="F67" s="28"/>
      <x:c r="G67" s="28"/>
      <x:c r="H67" s="29"/>
      <x:c r="I67" s="68" t="str">
        <x:f>IF(OR(F67="",G67="",H67=""),"",MAX(0,NETWORKDAYS(F67,G67)*H67))</x:f>
      </x:c>
      <x:c r="J67" s="26"/>
      <x:c r="K67" s="26"/>
      <x:c r="L67" s="28"/>
      <x:c r="M67" s="26"/>
      <x:c r="N67" s="55" t="str">
        <x:f>IF(A67="","",IF(COUNTIFS($B$11:$B$90,B67,$F$11:$F$90,"&lt;="&amp;G67,$G$11:$G$90,"&gt;="&amp;F67,$J$11:$J$90,"&lt;&gt;Declined",$J$11:$J$90,"&lt;&gt;Cancelled")&gt;1,"Overlap","Clear"))</x:f>
      </x:c>
      <x:c r="O67" s="55" t="str">
        <x:f>IF(A67="","",IF(OR(J67="Declined",J67="Cancelled"),"Not applicable",IF(COUNTIFS('EMPLOYEES'!$C$11:$C$60,D67,'EMPLOYEES'!$F$11:$F$60,"Active")-COUNTIFS($D$11:$D$90,D67,$F$11:$F$90,"&lt;="&amp;F67,$G$11:$G$90,"&gt;="&amp;F67,$J$11:$J$90,"Approved")-IF(J67="Pending",1,0)&lt;IFERROR(INDEX('SETUP'!$K$19:$K$23,MATCH(D67,'SETUP'!$J$19:$J$23,0)),0),"At Risk","Covered")))</x:f>
      </x:c>
      <x:c r="P67" s="55" t="str">
        <x:f>IF(A67="","",IF(OR(B67="",C67="",E67="",F67="",G67="",H67="",J67="",G67&lt;F67,I67&lt;=0,COUNTIF($A$11:$A$90,A67)&gt;1),"ERROR","PASS"))</x:f>
      </x:c>
      <x:c r="Q67" s="73" t="n">
        <x:f>IF(P67="ERROR",ROW()-10,IF(N67="Overlap",100+ROW()-10,IF(AND(O67="At Risk",OR(J67="Pending",AND(J67="Approved",F67&gt;='SETUP'!$D$13))),200+ROW()-10,IF(J67="Pending",300+ROW()-10,9999))))</x:f>
        <x:v>9999</x:v>
      </x:c>
      <x:c r="R67" s="4"/>
      <x:c r="S67" s="4"/>
      <x:c r="T67" s="4"/>
    </x:row>
    <x:row r="68">
      <x:c r="A68" s="26"/>
      <x:c r="B68" s="26"/>
      <x:c r="C68" s="55" t="str">
        <x:f>IF(B68="","",IFERROR(INDEX('EMPLOYEES'!$B$11:$B$60,MATCH(B68,'EMPLOYEES'!$A$11:$A$60,0)),""))</x:f>
      </x:c>
      <x:c r="D68" s="55" t="str">
        <x:f>IF(B68="","",IFERROR(INDEX('EMPLOYEES'!$C$11:$C$60,MATCH(B68,'EMPLOYEES'!$A$11:$A$60,0)),""))</x:f>
      </x:c>
      <x:c r="E68" s="26"/>
      <x:c r="F68" s="28"/>
      <x:c r="G68" s="28"/>
      <x:c r="H68" s="29"/>
      <x:c r="I68" s="68" t="str">
        <x:f>IF(OR(F68="",G68="",H68=""),"",MAX(0,NETWORKDAYS(F68,G68)*H68))</x:f>
      </x:c>
      <x:c r="J68" s="26"/>
      <x:c r="K68" s="26"/>
      <x:c r="L68" s="28"/>
      <x:c r="M68" s="26"/>
      <x:c r="N68" s="55" t="str">
        <x:f>IF(A68="","",IF(COUNTIFS($B$11:$B$90,B68,$F$11:$F$90,"&lt;="&amp;G68,$G$11:$G$90,"&gt;="&amp;F68,$J$11:$J$90,"&lt;&gt;Declined",$J$11:$J$90,"&lt;&gt;Cancelled")&gt;1,"Overlap","Clear"))</x:f>
      </x:c>
      <x:c r="O68" s="55" t="str">
        <x:f>IF(A68="","",IF(OR(J68="Declined",J68="Cancelled"),"Not applicable",IF(COUNTIFS('EMPLOYEES'!$C$11:$C$60,D68,'EMPLOYEES'!$F$11:$F$60,"Active")-COUNTIFS($D$11:$D$90,D68,$F$11:$F$90,"&lt;="&amp;F68,$G$11:$G$90,"&gt;="&amp;F68,$J$11:$J$90,"Approved")-IF(J68="Pending",1,0)&lt;IFERROR(INDEX('SETUP'!$K$19:$K$23,MATCH(D68,'SETUP'!$J$19:$J$23,0)),0),"At Risk","Covered")))</x:f>
      </x:c>
      <x:c r="P68" s="55" t="str">
        <x:f>IF(A68="","",IF(OR(B68="",C68="",E68="",F68="",G68="",H68="",J68="",G68&lt;F68,I68&lt;=0,COUNTIF($A$11:$A$90,A68)&gt;1),"ERROR","PASS"))</x:f>
      </x:c>
      <x:c r="Q68" s="73" t="n">
        <x:f>IF(P68="ERROR",ROW()-10,IF(N68="Overlap",100+ROW()-10,IF(AND(O68="At Risk",OR(J68="Pending",AND(J68="Approved",F68&gt;='SETUP'!$D$13))),200+ROW()-10,IF(J68="Pending",300+ROW()-10,9999))))</x:f>
        <x:v>9999</x:v>
      </x:c>
      <x:c r="R68" s="4"/>
      <x:c r="S68" s="4"/>
      <x:c r="T68" s="4"/>
    </x:row>
    <x:row r="69">
      <x:c r="A69" s="26"/>
      <x:c r="B69" s="26"/>
      <x:c r="C69" s="55" t="str">
        <x:f>IF(B69="","",IFERROR(INDEX('EMPLOYEES'!$B$11:$B$60,MATCH(B69,'EMPLOYEES'!$A$11:$A$60,0)),""))</x:f>
      </x:c>
      <x:c r="D69" s="55" t="str">
        <x:f>IF(B69="","",IFERROR(INDEX('EMPLOYEES'!$C$11:$C$60,MATCH(B69,'EMPLOYEES'!$A$11:$A$60,0)),""))</x:f>
      </x:c>
      <x:c r="E69" s="26"/>
      <x:c r="F69" s="28"/>
      <x:c r="G69" s="28"/>
      <x:c r="H69" s="29"/>
      <x:c r="I69" s="68" t="str">
        <x:f>IF(OR(F69="",G69="",H69=""),"",MAX(0,NETWORKDAYS(F69,G69)*H69))</x:f>
      </x:c>
      <x:c r="J69" s="26"/>
      <x:c r="K69" s="26"/>
      <x:c r="L69" s="28"/>
      <x:c r="M69" s="26"/>
      <x:c r="N69" s="55" t="str">
        <x:f>IF(A69="","",IF(COUNTIFS($B$11:$B$90,B69,$F$11:$F$90,"&lt;="&amp;G69,$G$11:$G$90,"&gt;="&amp;F69,$J$11:$J$90,"&lt;&gt;Declined",$J$11:$J$90,"&lt;&gt;Cancelled")&gt;1,"Overlap","Clear"))</x:f>
      </x:c>
      <x:c r="O69" s="55" t="str">
        <x:f>IF(A69="","",IF(OR(J69="Declined",J69="Cancelled"),"Not applicable",IF(COUNTIFS('EMPLOYEES'!$C$11:$C$60,D69,'EMPLOYEES'!$F$11:$F$60,"Active")-COUNTIFS($D$11:$D$90,D69,$F$11:$F$90,"&lt;="&amp;F69,$G$11:$G$90,"&gt;="&amp;F69,$J$11:$J$90,"Approved")-IF(J69="Pending",1,0)&lt;IFERROR(INDEX('SETUP'!$K$19:$K$23,MATCH(D69,'SETUP'!$J$19:$J$23,0)),0),"At Risk","Covered")))</x:f>
      </x:c>
      <x:c r="P69" s="55" t="str">
        <x:f>IF(A69="","",IF(OR(B69="",C69="",E69="",F69="",G69="",H69="",J69="",G69&lt;F69,I69&lt;=0,COUNTIF($A$11:$A$90,A69)&gt;1),"ERROR","PASS"))</x:f>
      </x:c>
      <x:c r="Q69" s="73" t="n">
        <x:f>IF(P69="ERROR",ROW()-10,IF(N69="Overlap",100+ROW()-10,IF(AND(O69="At Risk",OR(J69="Pending",AND(J69="Approved",F69&gt;='SETUP'!$D$13))),200+ROW()-10,IF(J69="Pending",300+ROW()-10,9999))))</x:f>
        <x:v>9999</x:v>
      </x:c>
      <x:c r="R69" s="4"/>
      <x:c r="S69" s="4"/>
      <x:c r="T69" s="4"/>
    </x:row>
    <x:row r="70">
      <x:c r="A70" s="26"/>
      <x:c r="B70" s="26"/>
      <x:c r="C70" s="55" t="str">
        <x:f>IF(B70="","",IFERROR(INDEX('EMPLOYEES'!$B$11:$B$60,MATCH(B70,'EMPLOYEES'!$A$11:$A$60,0)),""))</x:f>
      </x:c>
      <x:c r="D70" s="55" t="str">
        <x:f>IF(B70="","",IFERROR(INDEX('EMPLOYEES'!$C$11:$C$60,MATCH(B70,'EMPLOYEES'!$A$11:$A$60,0)),""))</x:f>
      </x:c>
      <x:c r="E70" s="26"/>
      <x:c r="F70" s="28"/>
      <x:c r="G70" s="28"/>
      <x:c r="H70" s="29"/>
      <x:c r="I70" s="68" t="str">
        <x:f>IF(OR(F70="",G70="",H70=""),"",MAX(0,NETWORKDAYS(F70,G70)*H70))</x:f>
      </x:c>
      <x:c r="J70" s="26"/>
      <x:c r="K70" s="26"/>
      <x:c r="L70" s="28"/>
      <x:c r="M70" s="26"/>
      <x:c r="N70" s="55" t="str">
        <x:f>IF(A70="","",IF(COUNTIFS($B$11:$B$90,B70,$F$11:$F$90,"&lt;="&amp;G70,$G$11:$G$90,"&gt;="&amp;F70,$J$11:$J$90,"&lt;&gt;Declined",$J$11:$J$90,"&lt;&gt;Cancelled")&gt;1,"Overlap","Clear"))</x:f>
      </x:c>
      <x:c r="O70" s="55" t="str">
        <x:f>IF(A70="","",IF(OR(J70="Declined",J70="Cancelled"),"Not applicable",IF(COUNTIFS('EMPLOYEES'!$C$11:$C$60,D70,'EMPLOYEES'!$F$11:$F$60,"Active")-COUNTIFS($D$11:$D$90,D70,$F$11:$F$90,"&lt;="&amp;F70,$G$11:$G$90,"&gt;="&amp;F70,$J$11:$J$90,"Approved")-IF(J70="Pending",1,0)&lt;IFERROR(INDEX('SETUP'!$K$19:$K$23,MATCH(D70,'SETUP'!$J$19:$J$23,0)),0),"At Risk","Covered")))</x:f>
      </x:c>
      <x:c r="P70" s="55" t="str">
        <x:f>IF(A70="","",IF(OR(B70="",C70="",E70="",F70="",G70="",H70="",J70="",G70&lt;F70,I70&lt;=0,COUNTIF($A$11:$A$90,A70)&gt;1),"ERROR","PASS"))</x:f>
      </x:c>
      <x:c r="Q70" s="73" t="n">
        <x:f>IF(P70="ERROR",ROW()-10,IF(N70="Overlap",100+ROW()-10,IF(AND(O70="At Risk",OR(J70="Pending",AND(J70="Approved",F70&gt;='SETUP'!$D$13))),200+ROW()-10,IF(J70="Pending",300+ROW()-10,9999))))</x:f>
        <x:v>9999</x:v>
      </x:c>
      <x:c r="R70" s="4"/>
      <x:c r="S70" s="4"/>
      <x:c r="T70" s="4"/>
    </x:row>
    <x:row r="71">
      <x:c r="A71" s="26"/>
      <x:c r="B71" s="26"/>
      <x:c r="C71" s="55" t="str">
        <x:f>IF(B71="","",IFERROR(INDEX('EMPLOYEES'!$B$11:$B$60,MATCH(B71,'EMPLOYEES'!$A$11:$A$60,0)),""))</x:f>
      </x:c>
      <x:c r="D71" s="55" t="str">
        <x:f>IF(B71="","",IFERROR(INDEX('EMPLOYEES'!$C$11:$C$60,MATCH(B71,'EMPLOYEES'!$A$11:$A$60,0)),""))</x:f>
      </x:c>
      <x:c r="E71" s="26"/>
      <x:c r="F71" s="28"/>
      <x:c r="G71" s="28"/>
      <x:c r="H71" s="29"/>
      <x:c r="I71" s="68" t="str">
        <x:f>IF(OR(F71="",G71="",H71=""),"",MAX(0,NETWORKDAYS(F71,G71)*H71))</x:f>
      </x:c>
      <x:c r="J71" s="26"/>
      <x:c r="K71" s="26"/>
      <x:c r="L71" s="28"/>
      <x:c r="M71" s="26"/>
      <x:c r="N71" s="55" t="str">
        <x:f>IF(A71="","",IF(COUNTIFS($B$11:$B$90,B71,$F$11:$F$90,"&lt;="&amp;G71,$G$11:$G$90,"&gt;="&amp;F71,$J$11:$J$90,"&lt;&gt;Declined",$J$11:$J$90,"&lt;&gt;Cancelled")&gt;1,"Overlap","Clear"))</x:f>
      </x:c>
      <x:c r="O71" s="55" t="str">
        <x:f>IF(A71="","",IF(OR(J71="Declined",J71="Cancelled"),"Not applicable",IF(COUNTIFS('EMPLOYEES'!$C$11:$C$60,D71,'EMPLOYEES'!$F$11:$F$60,"Active")-COUNTIFS($D$11:$D$90,D71,$F$11:$F$90,"&lt;="&amp;F71,$G$11:$G$90,"&gt;="&amp;F71,$J$11:$J$90,"Approved")-IF(J71="Pending",1,0)&lt;IFERROR(INDEX('SETUP'!$K$19:$K$23,MATCH(D71,'SETUP'!$J$19:$J$23,0)),0),"At Risk","Covered")))</x:f>
      </x:c>
      <x:c r="P71" s="55" t="str">
        <x:f>IF(A71="","",IF(OR(B71="",C71="",E71="",F71="",G71="",H71="",J71="",G71&lt;F71,I71&lt;=0,COUNTIF($A$11:$A$90,A71)&gt;1),"ERROR","PASS"))</x:f>
      </x:c>
      <x:c r="Q71" s="73" t="n">
        <x:f>IF(P71="ERROR",ROW()-10,IF(N71="Overlap",100+ROW()-10,IF(AND(O71="At Risk",OR(J71="Pending",AND(J71="Approved",F71&gt;='SETUP'!$D$13))),200+ROW()-10,IF(J71="Pending",300+ROW()-10,9999))))</x:f>
        <x:v>9999</x:v>
      </x:c>
      <x:c r="R71" s="4"/>
      <x:c r="S71" s="4"/>
      <x:c r="T71" s="4"/>
    </x:row>
    <x:row r="72">
      <x:c r="A72" s="26"/>
      <x:c r="B72" s="26"/>
      <x:c r="C72" s="55" t="str">
        <x:f>IF(B72="","",IFERROR(INDEX('EMPLOYEES'!$B$11:$B$60,MATCH(B72,'EMPLOYEES'!$A$11:$A$60,0)),""))</x:f>
      </x:c>
      <x:c r="D72" s="55" t="str">
        <x:f>IF(B72="","",IFERROR(INDEX('EMPLOYEES'!$C$11:$C$60,MATCH(B72,'EMPLOYEES'!$A$11:$A$60,0)),""))</x:f>
      </x:c>
      <x:c r="E72" s="26"/>
      <x:c r="F72" s="28"/>
      <x:c r="G72" s="28"/>
      <x:c r="H72" s="29"/>
      <x:c r="I72" s="68" t="str">
        <x:f>IF(OR(F72="",G72="",H72=""),"",MAX(0,NETWORKDAYS(F72,G72)*H72))</x:f>
      </x:c>
      <x:c r="J72" s="26"/>
      <x:c r="K72" s="26"/>
      <x:c r="L72" s="28"/>
      <x:c r="M72" s="26"/>
      <x:c r="N72" s="55" t="str">
        <x:f>IF(A72="","",IF(COUNTIFS($B$11:$B$90,B72,$F$11:$F$90,"&lt;="&amp;G72,$G$11:$G$90,"&gt;="&amp;F72,$J$11:$J$90,"&lt;&gt;Declined",$J$11:$J$90,"&lt;&gt;Cancelled")&gt;1,"Overlap","Clear"))</x:f>
      </x:c>
      <x:c r="O72" s="55" t="str">
        <x:f>IF(A72="","",IF(OR(J72="Declined",J72="Cancelled"),"Not applicable",IF(COUNTIFS('EMPLOYEES'!$C$11:$C$60,D72,'EMPLOYEES'!$F$11:$F$60,"Active")-COUNTIFS($D$11:$D$90,D72,$F$11:$F$90,"&lt;="&amp;F72,$G$11:$G$90,"&gt;="&amp;F72,$J$11:$J$90,"Approved")-IF(J72="Pending",1,0)&lt;IFERROR(INDEX('SETUP'!$K$19:$K$23,MATCH(D72,'SETUP'!$J$19:$J$23,0)),0),"At Risk","Covered")))</x:f>
      </x:c>
      <x:c r="P72" s="55" t="str">
        <x:f>IF(A72="","",IF(OR(B72="",C72="",E72="",F72="",G72="",H72="",J72="",G72&lt;F72,I72&lt;=0,COUNTIF($A$11:$A$90,A72)&gt;1),"ERROR","PASS"))</x:f>
      </x:c>
      <x:c r="Q72" s="73" t="n">
        <x:f>IF(P72="ERROR",ROW()-10,IF(N72="Overlap",100+ROW()-10,IF(AND(O72="At Risk",OR(J72="Pending",AND(J72="Approved",F72&gt;='SETUP'!$D$13))),200+ROW()-10,IF(J72="Pending",300+ROW()-10,9999))))</x:f>
        <x:v>9999</x:v>
      </x:c>
      <x:c r="R72" s="4"/>
      <x:c r="S72" s="4"/>
      <x:c r="T72" s="4"/>
    </x:row>
    <x:row r="73">
      <x:c r="A73" s="26"/>
      <x:c r="B73" s="26"/>
      <x:c r="C73" s="55" t="str">
        <x:f>IF(B73="","",IFERROR(INDEX('EMPLOYEES'!$B$11:$B$60,MATCH(B73,'EMPLOYEES'!$A$11:$A$60,0)),""))</x:f>
      </x:c>
      <x:c r="D73" s="55" t="str">
        <x:f>IF(B73="","",IFERROR(INDEX('EMPLOYEES'!$C$11:$C$60,MATCH(B73,'EMPLOYEES'!$A$11:$A$60,0)),""))</x:f>
      </x:c>
      <x:c r="E73" s="26"/>
      <x:c r="F73" s="28"/>
      <x:c r="G73" s="28"/>
      <x:c r="H73" s="29"/>
      <x:c r="I73" s="68" t="str">
        <x:f>IF(OR(F73="",G73="",H73=""),"",MAX(0,NETWORKDAYS(F73,G73)*H73))</x:f>
      </x:c>
      <x:c r="J73" s="26"/>
      <x:c r="K73" s="26"/>
      <x:c r="L73" s="28"/>
      <x:c r="M73" s="26"/>
      <x:c r="N73" s="55" t="str">
        <x:f>IF(A73="","",IF(COUNTIFS($B$11:$B$90,B73,$F$11:$F$90,"&lt;="&amp;G73,$G$11:$G$90,"&gt;="&amp;F73,$J$11:$J$90,"&lt;&gt;Declined",$J$11:$J$90,"&lt;&gt;Cancelled")&gt;1,"Overlap","Clear"))</x:f>
      </x:c>
      <x:c r="O73" s="55" t="str">
        <x:f>IF(A73="","",IF(OR(J73="Declined",J73="Cancelled"),"Not applicable",IF(COUNTIFS('EMPLOYEES'!$C$11:$C$60,D73,'EMPLOYEES'!$F$11:$F$60,"Active")-COUNTIFS($D$11:$D$90,D73,$F$11:$F$90,"&lt;="&amp;F73,$G$11:$G$90,"&gt;="&amp;F73,$J$11:$J$90,"Approved")-IF(J73="Pending",1,0)&lt;IFERROR(INDEX('SETUP'!$K$19:$K$23,MATCH(D73,'SETUP'!$J$19:$J$23,0)),0),"At Risk","Covered")))</x:f>
      </x:c>
      <x:c r="P73" s="55" t="str">
        <x:f>IF(A73="","",IF(OR(B73="",C73="",E73="",F73="",G73="",H73="",J73="",G73&lt;F73,I73&lt;=0,COUNTIF($A$11:$A$90,A73)&gt;1),"ERROR","PASS"))</x:f>
      </x:c>
      <x:c r="Q73" s="73" t="n">
        <x:f>IF(P73="ERROR",ROW()-10,IF(N73="Overlap",100+ROW()-10,IF(AND(O73="At Risk",OR(J73="Pending",AND(J73="Approved",F73&gt;='SETUP'!$D$13))),200+ROW()-10,IF(J73="Pending",300+ROW()-10,9999))))</x:f>
        <x:v>9999</x:v>
      </x:c>
      <x:c r="R73" s="4"/>
      <x:c r="S73" s="4"/>
      <x:c r="T73" s="4"/>
    </x:row>
    <x:row r="74">
      <x:c r="A74" s="26"/>
      <x:c r="B74" s="26"/>
      <x:c r="C74" s="55" t="str">
        <x:f>IF(B74="","",IFERROR(INDEX('EMPLOYEES'!$B$11:$B$60,MATCH(B74,'EMPLOYEES'!$A$11:$A$60,0)),""))</x:f>
      </x:c>
      <x:c r="D74" s="55" t="str">
        <x:f>IF(B74="","",IFERROR(INDEX('EMPLOYEES'!$C$11:$C$60,MATCH(B74,'EMPLOYEES'!$A$11:$A$60,0)),""))</x:f>
      </x:c>
      <x:c r="E74" s="26"/>
      <x:c r="F74" s="28"/>
      <x:c r="G74" s="28"/>
      <x:c r="H74" s="29"/>
      <x:c r="I74" s="68" t="str">
        <x:f>IF(OR(F74="",G74="",H74=""),"",MAX(0,NETWORKDAYS(F74,G74)*H74))</x:f>
      </x:c>
      <x:c r="J74" s="26"/>
      <x:c r="K74" s="26"/>
      <x:c r="L74" s="28"/>
      <x:c r="M74" s="26"/>
      <x:c r="N74" s="55" t="str">
        <x:f>IF(A74="","",IF(COUNTIFS($B$11:$B$90,B74,$F$11:$F$90,"&lt;="&amp;G74,$G$11:$G$90,"&gt;="&amp;F74,$J$11:$J$90,"&lt;&gt;Declined",$J$11:$J$90,"&lt;&gt;Cancelled")&gt;1,"Overlap","Clear"))</x:f>
      </x:c>
      <x:c r="O74" s="55" t="str">
        <x:f>IF(A74="","",IF(OR(J74="Declined",J74="Cancelled"),"Not applicable",IF(COUNTIFS('EMPLOYEES'!$C$11:$C$60,D74,'EMPLOYEES'!$F$11:$F$60,"Active")-COUNTIFS($D$11:$D$90,D74,$F$11:$F$90,"&lt;="&amp;F74,$G$11:$G$90,"&gt;="&amp;F74,$J$11:$J$90,"Approved")-IF(J74="Pending",1,0)&lt;IFERROR(INDEX('SETUP'!$K$19:$K$23,MATCH(D74,'SETUP'!$J$19:$J$23,0)),0),"At Risk","Covered")))</x:f>
      </x:c>
      <x:c r="P74" s="55" t="str">
        <x:f>IF(A74="","",IF(OR(B74="",C74="",E74="",F74="",G74="",H74="",J74="",G74&lt;F74,I74&lt;=0,COUNTIF($A$11:$A$90,A74)&gt;1),"ERROR","PASS"))</x:f>
      </x:c>
      <x:c r="Q74" s="73" t="n">
        <x:f>IF(P74="ERROR",ROW()-10,IF(N74="Overlap",100+ROW()-10,IF(AND(O74="At Risk",OR(J74="Pending",AND(J74="Approved",F74&gt;='SETUP'!$D$13))),200+ROW()-10,IF(J74="Pending",300+ROW()-10,9999))))</x:f>
        <x:v>9999</x:v>
      </x:c>
      <x:c r="R74" s="4"/>
      <x:c r="S74" s="4"/>
      <x:c r="T74" s="4"/>
    </x:row>
    <x:row r="75">
      <x:c r="A75" s="26"/>
      <x:c r="B75" s="26"/>
      <x:c r="C75" s="55" t="str">
        <x:f>IF(B75="","",IFERROR(INDEX('EMPLOYEES'!$B$11:$B$60,MATCH(B75,'EMPLOYEES'!$A$11:$A$60,0)),""))</x:f>
      </x:c>
      <x:c r="D75" s="55" t="str">
        <x:f>IF(B75="","",IFERROR(INDEX('EMPLOYEES'!$C$11:$C$60,MATCH(B75,'EMPLOYEES'!$A$11:$A$60,0)),""))</x:f>
      </x:c>
      <x:c r="E75" s="26"/>
      <x:c r="F75" s="28"/>
      <x:c r="G75" s="28"/>
      <x:c r="H75" s="29"/>
      <x:c r="I75" s="68" t="str">
        <x:f>IF(OR(F75="",G75="",H75=""),"",MAX(0,NETWORKDAYS(F75,G75)*H75))</x:f>
      </x:c>
      <x:c r="J75" s="26"/>
      <x:c r="K75" s="26"/>
      <x:c r="L75" s="28"/>
      <x:c r="M75" s="26"/>
      <x:c r="N75" s="55" t="str">
        <x:f>IF(A75="","",IF(COUNTIFS($B$11:$B$90,B75,$F$11:$F$90,"&lt;="&amp;G75,$G$11:$G$90,"&gt;="&amp;F75,$J$11:$J$90,"&lt;&gt;Declined",$J$11:$J$90,"&lt;&gt;Cancelled")&gt;1,"Overlap","Clear"))</x:f>
      </x:c>
      <x:c r="O75" s="55" t="str">
        <x:f>IF(A75="","",IF(OR(J75="Declined",J75="Cancelled"),"Not applicable",IF(COUNTIFS('EMPLOYEES'!$C$11:$C$60,D75,'EMPLOYEES'!$F$11:$F$60,"Active")-COUNTIFS($D$11:$D$90,D75,$F$11:$F$90,"&lt;="&amp;F75,$G$11:$G$90,"&gt;="&amp;F75,$J$11:$J$90,"Approved")-IF(J75="Pending",1,0)&lt;IFERROR(INDEX('SETUP'!$K$19:$K$23,MATCH(D75,'SETUP'!$J$19:$J$23,0)),0),"At Risk","Covered")))</x:f>
      </x:c>
      <x:c r="P75" s="55" t="str">
        <x:f>IF(A75="","",IF(OR(B75="",C75="",E75="",F75="",G75="",H75="",J75="",G75&lt;F75,I75&lt;=0,COUNTIF($A$11:$A$90,A75)&gt;1),"ERROR","PASS"))</x:f>
      </x:c>
      <x:c r="Q75" s="73" t="n">
        <x:f>IF(P75="ERROR",ROW()-10,IF(N75="Overlap",100+ROW()-10,IF(AND(O75="At Risk",OR(J75="Pending",AND(J75="Approved",F75&gt;='SETUP'!$D$13))),200+ROW()-10,IF(J75="Pending",300+ROW()-10,9999))))</x:f>
        <x:v>9999</x:v>
      </x:c>
      <x:c r="R75" s="4"/>
      <x:c r="S75" s="4"/>
      <x:c r="T75" s="4"/>
    </x:row>
    <x:row r="76">
      <x:c r="A76" s="26"/>
      <x:c r="B76" s="26"/>
      <x:c r="C76" s="55" t="str">
        <x:f>IF(B76="","",IFERROR(INDEX('EMPLOYEES'!$B$11:$B$60,MATCH(B76,'EMPLOYEES'!$A$11:$A$60,0)),""))</x:f>
      </x:c>
      <x:c r="D76" s="55" t="str">
        <x:f>IF(B76="","",IFERROR(INDEX('EMPLOYEES'!$C$11:$C$60,MATCH(B76,'EMPLOYEES'!$A$11:$A$60,0)),""))</x:f>
      </x:c>
      <x:c r="E76" s="26"/>
      <x:c r="F76" s="28"/>
      <x:c r="G76" s="28"/>
      <x:c r="H76" s="29"/>
      <x:c r="I76" s="68" t="str">
        <x:f>IF(OR(F76="",G76="",H76=""),"",MAX(0,NETWORKDAYS(F76,G76)*H76))</x:f>
      </x:c>
      <x:c r="J76" s="26"/>
      <x:c r="K76" s="26"/>
      <x:c r="L76" s="28"/>
      <x:c r="M76" s="26"/>
      <x:c r="N76" s="55" t="str">
        <x:f>IF(A76="","",IF(COUNTIFS($B$11:$B$90,B76,$F$11:$F$90,"&lt;="&amp;G76,$G$11:$G$90,"&gt;="&amp;F76,$J$11:$J$90,"&lt;&gt;Declined",$J$11:$J$90,"&lt;&gt;Cancelled")&gt;1,"Overlap","Clear"))</x:f>
      </x:c>
      <x:c r="O76" s="55" t="str">
        <x:f>IF(A76="","",IF(OR(J76="Declined",J76="Cancelled"),"Not applicable",IF(COUNTIFS('EMPLOYEES'!$C$11:$C$60,D76,'EMPLOYEES'!$F$11:$F$60,"Active")-COUNTIFS($D$11:$D$90,D76,$F$11:$F$90,"&lt;="&amp;F76,$G$11:$G$90,"&gt;="&amp;F76,$J$11:$J$90,"Approved")-IF(J76="Pending",1,0)&lt;IFERROR(INDEX('SETUP'!$K$19:$K$23,MATCH(D76,'SETUP'!$J$19:$J$23,0)),0),"At Risk","Covered")))</x:f>
      </x:c>
      <x:c r="P76" s="55" t="str">
        <x:f>IF(A76="","",IF(OR(B76="",C76="",E76="",F76="",G76="",H76="",J76="",G76&lt;F76,I76&lt;=0,COUNTIF($A$11:$A$90,A76)&gt;1),"ERROR","PASS"))</x:f>
      </x:c>
      <x:c r="Q76" s="73" t="n">
        <x:f>IF(P76="ERROR",ROW()-10,IF(N76="Overlap",100+ROW()-10,IF(AND(O76="At Risk",OR(J76="Pending",AND(J76="Approved",F76&gt;='SETUP'!$D$13))),200+ROW()-10,IF(J76="Pending",300+ROW()-10,9999))))</x:f>
        <x:v>9999</x:v>
      </x:c>
      <x:c r="R76" s="4"/>
      <x:c r="S76" s="4"/>
      <x:c r="T76" s="4"/>
    </x:row>
    <x:row r="77">
      <x:c r="A77" s="26"/>
      <x:c r="B77" s="26"/>
      <x:c r="C77" s="55" t="str">
        <x:f>IF(B77="","",IFERROR(INDEX('EMPLOYEES'!$B$11:$B$60,MATCH(B77,'EMPLOYEES'!$A$11:$A$60,0)),""))</x:f>
      </x:c>
      <x:c r="D77" s="55" t="str">
        <x:f>IF(B77="","",IFERROR(INDEX('EMPLOYEES'!$C$11:$C$60,MATCH(B77,'EMPLOYEES'!$A$11:$A$60,0)),""))</x:f>
      </x:c>
      <x:c r="E77" s="26"/>
      <x:c r="F77" s="28"/>
      <x:c r="G77" s="28"/>
      <x:c r="H77" s="29"/>
      <x:c r="I77" s="68" t="str">
        <x:f>IF(OR(F77="",G77="",H77=""),"",MAX(0,NETWORKDAYS(F77,G77)*H77))</x:f>
      </x:c>
      <x:c r="J77" s="26"/>
      <x:c r="K77" s="26"/>
      <x:c r="L77" s="28"/>
      <x:c r="M77" s="26"/>
      <x:c r="N77" s="55" t="str">
        <x:f>IF(A77="","",IF(COUNTIFS($B$11:$B$90,B77,$F$11:$F$90,"&lt;="&amp;G77,$G$11:$G$90,"&gt;="&amp;F77,$J$11:$J$90,"&lt;&gt;Declined",$J$11:$J$90,"&lt;&gt;Cancelled")&gt;1,"Overlap","Clear"))</x:f>
      </x:c>
      <x:c r="O77" s="55" t="str">
        <x:f>IF(A77="","",IF(OR(J77="Declined",J77="Cancelled"),"Not applicable",IF(COUNTIFS('EMPLOYEES'!$C$11:$C$60,D77,'EMPLOYEES'!$F$11:$F$60,"Active")-COUNTIFS($D$11:$D$90,D77,$F$11:$F$90,"&lt;="&amp;F77,$G$11:$G$90,"&gt;="&amp;F77,$J$11:$J$90,"Approved")-IF(J77="Pending",1,0)&lt;IFERROR(INDEX('SETUP'!$K$19:$K$23,MATCH(D77,'SETUP'!$J$19:$J$23,0)),0),"At Risk","Covered")))</x:f>
      </x:c>
      <x:c r="P77" s="55" t="str">
        <x:f>IF(A77="","",IF(OR(B77="",C77="",E77="",F77="",G77="",H77="",J77="",G77&lt;F77,I77&lt;=0,COUNTIF($A$11:$A$90,A77)&gt;1),"ERROR","PASS"))</x:f>
      </x:c>
      <x:c r="Q77" s="73" t="n">
        <x:f>IF(P77="ERROR",ROW()-10,IF(N77="Overlap",100+ROW()-10,IF(AND(O77="At Risk",OR(J77="Pending",AND(J77="Approved",F77&gt;='SETUP'!$D$13))),200+ROW()-10,IF(J77="Pending",300+ROW()-10,9999))))</x:f>
        <x:v>9999</x:v>
      </x:c>
      <x:c r="R77" s="4"/>
      <x:c r="S77" s="4"/>
      <x:c r="T77" s="4"/>
    </x:row>
    <x:row r="78">
      <x:c r="A78" s="26"/>
      <x:c r="B78" s="26"/>
      <x:c r="C78" s="55" t="str">
        <x:f>IF(B78="","",IFERROR(INDEX('EMPLOYEES'!$B$11:$B$60,MATCH(B78,'EMPLOYEES'!$A$11:$A$60,0)),""))</x:f>
      </x:c>
      <x:c r="D78" s="55" t="str">
        <x:f>IF(B78="","",IFERROR(INDEX('EMPLOYEES'!$C$11:$C$60,MATCH(B78,'EMPLOYEES'!$A$11:$A$60,0)),""))</x:f>
      </x:c>
      <x:c r="E78" s="26"/>
      <x:c r="F78" s="28"/>
      <x:c r="G78" s="28"/>
      <x:c r="H78" s="29"/>
      <x:c r="I78" s="68" t="str">
        <x:f>IF(OR(F78="",G78="",H78=""),"",MAX(0,NETWORKDAYS(F78,G78)*H78))</x:f>
      </x:c>
      <x:c r="J78" s="26"/>
      <x:c r="K78" s="26"/>
      <x:c r="L78" s="28"/>
      <x:c r="M78" s="26"/>
      <x:c r="N78" s="55" t="str">
        <x:f>IF(A78="","",IF(COUNTIFS($B$11:$B$90,B78,$F$11:$F$90,"&lt;="&amp;G78,$G$11:$G$90,"&gt;="&amp;F78,$J$11:$J$90,"&lt;&gt;Declined",$J$11:$J$90,"&lt;&gt;Cancelled")&gt;1,"Overlap","Clear"))</x:f>
      </x:c>
      <x:c r="O78" s="55" t="str">
        <x:f>IF(A78="","",IF(OR(J78="Declined",J78="Cancelled"),"Not applicable",IF(COUNTIFS('EMPLOYEES'!$C$11:$C$60,D78,'EMPLOYEES'!$F$11:$F$60,"Active")-COUNTIFS($D$11:$D$90,D78,$F$11:$F$90,"&lt;="&amp;F78,$G$11:$G$90,"&gt;="&amp;F78,$J$11:$J$90,"Approved")-IF(J78="Pending",1,0)&lt;IFERROR(INDEX('SETUP'!$K$19:$K$23,MATCH(D78,'SETUP'!$J$19:$J$23,0)),0),"At Risk","Covered")))</x:f>
      </x:c>
      <x:c r="P78" s="55" t="str">
        <x:f>IF(A78="","",IF(OR(B78="",C78="",E78="",F78="",G78="",H78="",J78="",G78&lt;F78,I78&lt;=0,COUNTIF($A$11:$A$90,A78)&gt;1),"ERROR","PASS"))</x:f>
      </x:c>
      <x:c r="Q78" s="73" t="n">
        <x:f>IF(P78="ERROR",ROW()-10,IF(N78="Overlap",100+ROW()-10,IF(AND(O78="At Risk",OR(J78="Pending",AND(J78="Approved",F78&gt;='SETUP'!$D$13))),200+ROW()-10,IF(J78="Pending",300+ROW()-10,9999))))</x:f>
        <x:v>9999</x:v>
      </x:c>
      <x:c r="R78" s="4"/>
      <x:c r="S78" s="4"/>
      <x:c r="T78" s="4"/>
    </x:row>
    <x:row r="79">
      <x:c r="A79" s="26"/>
      <x:c r="B79" s="26"/>
      <x:c r="C79" s="55" t="str">
        <x:f>IF(B79="","",IFERROR(INDEX('EMPLOYEES'!$B$11:$B$60,MATCH(B79,'EMPLOYEES'!$A$11:$A$60,0)),""))</x:f>
      </x:c>
      <x:c r="D79" s="55" t="str">
        <x:f>IF(B79="","",IFERROR(INDEX('EMPLOYEES'!$C$11:$C$60,MATCH(B79,'EMPLOYEES'!$A$11:$A$60,0)),""))</x:f>
      </x:c>
      <x:c r="E79" s="26"/>
      <x:c r="F79" s="28"/>
      <x:c r="G79" s="28"/>
      <x:c r="H79" s="29"/>
      <x:c r="I79" s="68" t="str">
        <x:f>IF(OR(F79="",G79="",H79=""),"",MAX(0,NETWORKDAYS(F79,G79)*H79))</x:f>
      </x:c>
      <x:c r="J79" s="26"/>
      <x:c r="K79" s="26"/>
      <x:c r="L79" s="28"/>
      <x:c r="M79" s="26"/>
      <x:c r="N79" s="55" t="str">
        <x:f>IF(A79="","",IF(COUNTIFS($B$11:$B$90,B79,$F$11:$F$90,"&lt;="&amp;G79,$G$11:$G$90,"&gt;="&amp;F79,$J$11:$J$90,"&lt;&gt;Declined",$J$11:$J$90,"&lt;&gt;Cancelled")&gt;1,"Overlap","Clear"))</x:f>
      </x:c>
      <x:c r="O79" s="55" t="str">
        <x:f>IF(A79="","",IF(OR(J79="Declined",J79="Cancelled"),"Not applicable",IF(COUNTIFS('EMPLOYEES'!$C$11:$C$60,D79,'EMPLOYEES'!$F$11:$F$60,"Active")-COUNTIFS($D$11:$D$90,D79,$F$11:$F$90,"&lt;="&amp;F79,$G$11:$G$90,"&gt;="&amp;F79,$J$11:$J$90,"Approved")-IF(J79="Pending",1,0)&lt;IFERROR(INDEX('SETUP'!$K$19:$K$23,MATCH(D79,'SETUP'!$J$19:$J$23,0)),0),"At Risk","Covered")))</x:f>
      </x:c>
      <x:c r="P79" s="55" t="str">
        <x:f>IF(A79="","",IF(OR(B79="",C79="",E79="",F79="",G79="",H79="",J79="",G79&lt;F79,I79&lt;=0,COUNTIF($A$11:$A$90,A79)&gt;1),"ERROR","PASS"))</x:f>
      </x:c>
      <x:c r="Q79" s="73" t="n">
        <x:f>IF(P79="ERROR",ROW()-10,IF(N79="Overlap",100+ROW()-10,IF(AND(O79="At Risk",OR(J79="Pending",AND(J79="Approved",F79&gt;='SETUP'!$D$13))),200+ROW()-10,IF(J79="Pending",300+ROW()-10,9999))))</x:f>
        <x:v>9999</x:v>
      </x:c>
      <x:c r="R79" s="4"/>
      <x:c r="S79" s="4"/>
      <x:c r="T79" s="4"/>
    </x:row>
    <x:row r="80">
      <x:c r="A80" s="26"/>
      <x:c r="B80" s="26"/>
      <x:c r="C80" s="55" t="str">
        <x:f>IF(B80="","",IFERROR(INDEX('EMPLOYEES'!$B$11:$B$60,MATCH(B80,'EMPLOYEES'!$A$11:$A$60,0)),""))</x:f>
      </x:c>
      <x:c r="D80" s="55" t="str">
        <x:f>IF(B80="","",IFERROR(INDEX('EMPLOYEES'!$C$11:$C$60,MATCH(B80,'EMPLOYEES'!$A$11:$A$60,0)),""))</x:f>
      </x:c>
      <x:c r="E80" s="26"/>
      <x:c r="F80" s="28"/>
      <x:c r="G80" s="28"/>
      <x:c r="H80" s="29"/>
      <x:c r="I80" s="68" t="str">
        <x:f>IF(OR(F80="",G80="",H80=""),"",MAX(0,NETWORKDAYS(F80,G80)*H80))</x:f>
      </x:c>
      <x:c r="J80" s="26"/>
      <x:c r="K80" s="26"/>
      <x:c r="L80" s="28"/>
      <x:c r="M80" s="26"/>
      <x:c r="N80" s="55" t="str">
        <x:f>IF(A80="","",IF(COUNTIFS($B$11:$B$90,B80,$F$11:$F$90,"&lt;="&amp;G80,$G$11:$G$90,"&gt;="&amp;F80,$J$11:$J$90,"&lt;&gt;Declined",$J$11:$J$90,"&lt;&gt;Cancelled")&gt;1,"Overlap","Clear"))</x:f>
      </x:c>
      <x:c r="O80" s="55" t="str">
        <x:f>IF(A80="","",IF(OR(J80="Declined",J80="Cancelled"),"Not applicable",IF(COUNTIFS('EMPLOYEES'!$C$11:$C$60,D80,'EMPLOYEES'!$F$11:$F$60,"Active")-COUNTIFS($D$11:$D$90,D80,$F$11:$F$90,"&lt;="&amp;F80,$G$11:$G$90,"&gt;="&amp;F80,$J$11:$J$90,"Approved")-IF(J80="Pending",1,0)&lt;IFERROR(INDEX('SETUP'!$K$19:$K$23,MATCH(D80,'SETUP'!$J$19:$J$23,0)),0),"At Risk","Covered")))</x:f>
      </x:c>
      <x:c r="P80" s="55" t="str">
        <x:f>IF(A80="","",IF(OR(B80="",C80="",E80="",F80="",G80="",H80="",J80="",G80&lt;F80,I80&lt;=0,COUNTIF($A$11:$A$90,A80)&gt;1),"ERROR","PASS"))</x:f>
      </x:c>
      <x:c r="Q80" s="73" t="n">
        <x:f>IF(P80="ERROR",ROW()-10,IF(N80="Overlap",100+ROW()-10,IF(AND(O80="At Risk",OR(J80="Pending",AND(J80="Approved",F80&gt;='SETUP'!$D$13))),200+ROW()-10,IF(J80="Pending",300+ROW()-10,9999))))</x:f>
        <x:v>9999</x:v>
      </x:c>
      <x:c r="R80" s="4"/>
      <x:c r="S80" s="4"/>
      <x:c r="T80" s="4"/>
    </x:row>
    <x:row r="81">
      <x:c r="A81" s="61"/>
      <x:c r="B81" s="61"/>
      <x:c r="C81" s="64" t="str">
        <x:f>IF(B81="","",IFERROR(INDEX('EMPLOYEES'!$B$11:$B$60,MATCH(B81,'EMPLOYEES'!$A$11:$A$60,0)),""))</x:f>
      </x:c>
      <x:c r="D81" s="64" t="str">
        <x:f>IF(B81="","",IFERROR(INDEX('EMPLOYEES'!$C$11:$C$60,MATCH(B81,'EMPLOYEES'!$A$11:$A$60,0)),""))</x:f>
      </x:c>
      <x:c r="E81" s="61"/>
      <x:c r="F81" s="66"/>
      <x:c r="G81" s="66"/>
      <x:c r="H81" s="69"/>
      <x:c r="I81" s="70" t="str">
        <x:f>IF(OR(F81="",G81="",H81=""),"",MAX(0,NETWORKDAYS(F81,G81)*H81))</x:f>
      </x:c>
      <x:c r="J81" s="61"/>
      <x:c r="K81" s="61"/>
      <x:c r="L81" s="66"/>
      <x:c r="M81" s="61"/>
      <x:c r="N81" s="64" t="str">
        <x:f>IF(A81="","",IF(COUNTIFS($B$11:$B$90,B81,$F$11:$F$90,"&lt;="&amp;G81,$G$11:$G$90,"&gt;="&amp;F81,$J$11:$J$90,"&lt;&gt;Declined",$J$11:$J$90,"&lt;&gt;Cancelled")&gt;1,"Overlap","Clear"))</x:f>
      </x:c>
      <x:c r="O81" s="64" t="str">
        <x:f>IF(A81="","",IF(OR(J81="Declined",J81="Cancelled"),"Not applicable",IF(COUNTIFS('EMPLOYEES'!$C$11:$C$60,D81,'EMPLOYEES'!$F$11:$F$60,"Active")-COUNTIFS($D$11:$D$90,D81,$F$11:$F$90,"&lt;="&amp;F81,$G$11:$G$90,"&gt;="&amp;F81,$J$11:$J$90,"Approved")-IF(J81="Pending",1,0)&lt;IFERROR(INDEX('SETUP'!$K$19:$K$23,MATCH(D81,'SETUP'!$J$19:$J$23,0)),0),"At Risk","Covered")))</x:f>
      </x:c>
      <x:c r="P81" s="64" t="str">
        <x:f>IF(A81="","",IF(OR(B81="",C81="",E81="",F81="",G81="",H81="",J81="",G81&lt;F81,I81&lt;=0,COUNTIF($A$11:$A$90,A81)&gt;1),"ERROR","PASS"))</x:f>
      </x:c>
      <x:c r="Q81" s="74" t="n">
        <x:f>IF(P81="ERROR",ROW()-10,IF(N81="Overlap",100+ROW()-10,IF(AND(O81="At Risk",OR(J81="Pending",AND(J81="Approved",F81&gt;='SETUP'!$D$13))),200+ROW()-10,IF(J81="Pending",300+ROW()-10,9999))))</x:f>
        <x:v>9999</x:v>
      </x:c>
    </x:row>
    <x:row r="82">
      <x:c r="A82" s="61"/>
      <x:c r="B82" s="61"/>
      <x:c r="C82" s="64" t="str">
        <x:f>IF(B82="","",IFERROR(INDEX('EMPLOYEES'!$B$11:$B$60,MATCH(B82,'EMPLOYEES'!$A$11:$A$60,0)),""))</x:f>
      </x:c>
      <x:c r="D82" s="64" t="str">
        <x:f>IF(B82="","",IFERROR(INDEX('EMPLOYEES'!$C$11:$C$60,MATCH(B82,'EMPLOYEES'!$A$11:$A$60,0)),""))</x:f>
      </x:c>
      <x:c r="E82" s="61"/>
      <x:c r="F82" s="66"/>
      <x:c r="G82" s="66"/>
      <x:c r="H82" s="69"/>
      <x:c r="I82" s="70" t="str">
        <x:f>IF(OR(F82="",G82="",H82=""),"",MAX(0,NETWORKDAYS(F82,G82)*H82))</x:f>
      </x:c>
      <x:c r="J82" s="61"/>
      <x:c r="K82" s="61"/>
      <x:c r="L82" s="66"/>
      <x:c r="M82" s="61"/>
      <x:c r="N82" s="64" t="str">
        <x:f>IF(A82="","",IF(COUNTIFS($B$11:$B$90,B82,$F$11:$F$90,"&lt;="&amp;G82,$G$11:$G$90,"&gt;="&amp;F82,$J$11:$J$90,"&lt;&gt;Declined",$J$11:$J$90,"&lt;&gt;Cancelled")&gt;1,"Overlap","Clear"))</x:f>
      </x:c>
      <x:c r="O82" s="64" t="str">
        <x:f>IF(A82="","",IF(OR(J82="Declined",J82="Cancelled"),"Not applicable",IF(COUNTIFS('EMPLOYEES'!$C$11:$C$60,D82,'EMPLOYEES'!$F$11:$F$60,"Active")-COUNTIFS($D$11:$D$90,D82,$F$11:$F$90,"&lt;="&amp;F82,$G$11:$G$90,"&gt;="&amp;F82,$J$11:$J$90,"Approved")-IF(J82="Pending",1,0)&lt;IFERROR(INDEX('SETUP'!$K$19:$K$23,MATCH(D82,'SETUP'!$J$19:$J$23,0)),0),"At Risk","Covered")))</x:f>
      </x:c>
      <x:c r="P82" s="64" t="str">
        <x:f>IF(A82="","",IF(OR(B82="",C82="",E82="",F82="",G82="",H82="",J82="",G82&lt;F82,I82&lt;=0,COUNTIF($A$11:$A$90,A82)&gt;1),"ERROR","PASS"))</x:f>
      </x:c>
      <x:c r="Q82" s="74" t="n">
        <x:f>IF(P82="ERROR",ROW()-10,IF(N82="Overlap",100+ROW()-10,IF(AND(O82="At Risk",OR(J82="Pending",AND(J82="Approved",F82&gt;='SETUP'!$D$13))),200+ROW()-10,IF(J82="Pending",300+ROW()-10,9999))))</x:f>
        <x:v>9999</x:v>
      </x:c>
    </x:row>
    <x:row r="83">
      <x:c r="A83" s="61"/>
      <x:c r="B83" s="61"/>
      <x:c r="C83" s="64" t="str">
        <x:f>IF(B83="","",IFERROR(INDEX('EMPLOYEES'!$B$11:$B$60,MATCH(B83,'EMPLOYEES'!$A$11:$A$60,0)),""))</x:f>
      </x:c>
      <x:c r="D83" s="64" t="str">
        <x:f>IF(B83="","",IFERROR(INDEX('EMPLOYEES'!$C$11:$C$60,MATCH(B83,'EMPLOYEES'!$A$11:$A$60,0)),""))</x:f>
      </x:c>
      <x:c r="E83" s="61"/>
      <x:c r="F83" s="66"/>
      <x:c r="G83" s="66"/>
      <x:c r="H83" s="69"/>
      <x:c r="I83" s="70" t="str">
        <x:f>IF(OR(F83="",G83="",H83=""),"",MAX(0,NETWORKDAYS(F83,G83)*H83))</x:f>
      </x:c>
      <x:c r="J83" s="61"/>
      <x:c r="K83" s="61"/>
      <x:c r="L83" s="66"/>
      <x:c r="M83" s="61"/>
      <x:c r="N83" s="64" t="str">
        <x:f>IF(A83="","",IF(COUNTIFS($B$11:$B$90,B83,$F$11:$F$90,"&lt;="&amp;G83,$G$11:$G$90,"&gt;="&amp;F83,$J$11:$J$90,"&lt;&gt;Declined",$J$11:$J$90,"&lt;&gt;Cancelled")&gt;1,"Overlap","Clear"))</x:f>
      </x:c>
      <x:c r="O83" s="64" t="str">
        <x:f>IF(A83="","",IF(OR(J83="Declined",J83="Cancelled"),"Not applicable",IF(COUNTIFS('EMPLOYEES'!$C$11:$C$60,D83,'EMPLOYEES'!$F$11:$F$60,"Active")-COUNTIFS($D$11:$D$90,D83,$F$11:$F$90,"&lt;="&amp;F83,$G$11:$G$90,"&gt;="&amp;F83,$J$11:$J$90,"Approved")-IF(J83="Pending",1,0)&lt;IFERROR(INDEX('SETUP'!$K$19:$K$23,MATCH(D83,'SETUP'!$J$19:$J$23,0)),0),"At Risk","Covered")))</x:f>
      </x:c>
      <x:c r="P83" s="64" t="str">
        <x:f>IF(A83="","",IF(OR(B83="",C83="",E83="",F83="",G83="",H83="",J83="",G83&lt;F83,I83&lt;=0,COUNTIF($A$11:$A$90,A83)&gt;1),"ERROR","PASS"))</x:f>
      </x:c>
      <x:c r="Q83" s="74" t="n">
        <x:f>IF(P83="ERROR",ROW()-10,IF(N83="Overlap",100+ROW()-10,IF(AND(O83="At Risk",OR(J83="Pending",AND(J83="Approved",F83&gt;='SETUP'!$D$13))),200+ROW()-10,IF(J83="Pending",300+ROW()-10,9999))))</x:f>
        <x:v>9999</x:v>
      </x:c>
    </x:row>
    <x:row r="84">
      <x:c r="A84" s="61"/>
      <x:c r="B84" s="61"/>
      <x:c r="C84" s="64" t="str">
        <x:f>IF(B84="","",IFERROR(INDEX('EMPLOYEES'!$B$11:$B$60,MATCH(B84,'EMPLOYEES'!$A$11:$A$60,0)),""))</x:f>
      </x:c>
      <x:c r="D84" s="64" t="str">
        <x:f>IF(B84="","",IFERROR(INDEX('EMPLOYEES'!$C$11:$C$60,MATCH(B84,'EMPLOYEES'!$A$11:$A$60,0)),""))</x:f>
      </x:c>
      <x:c r="E84" s="61"/>
      <x:c r="F84" s="66"/>
      <x:c r="G84" s="66"/>
      <x:c r="H84" s="69"/>
      <x:c r="I84" s="70" t="str">
        <x:f>IF(OR(F84="",G84="",H84=""),"",MAX(0,NETWORKDAYS(F84,G84)*H84))</x:f>
      </x:c>
      <x:c r="J84" s="61"/>
      <x:c r="K84" s="61"/>
      <x:c r="L84" s="66"/>
      <x:c r="M84" s="61"/>
      <x:c r="N84" s="64" t="str">
        <x:f>IF(A84="","",IF(COUNTIFS($B$11:$B$90,B84,$F$11:$F$90,"&lt;="&amp;G84,$G$11:$G$90,"&gt;="&amp;F84,$J$11:$J$90,"&lt;&gt;Declined",$J$11:$J$90,"&lt;&gt;Cancelled")&gt;1,"Overlap","Clear"))</x:f>
      </x:c>
      <x:c r="O84" s="64" t="str">
        <x:f>IF(A84="","",IF(OR(J84="Declined",J84="Cancelled"),"Not applicable",IF(COUNTIFS('EMPLOYEES'!$C$11:$C$60,D84,'EMPLOYEES'!$F$11:$F$60,"Active")-COUNTIFS($D$11:$D$90,D84,$F$11:$F$90,"&lt;="&amp;F84,$G$11:$G$90,"&gt;="&amp;F84,$J$11:$J$90,"Approved")-IF(J84="Pending",1,0)&lt;IFERROR(INDEX('SETUP'!$K$19:$K$23,MATCH(D84,'SETUP'!$J$19:$J$23,0)),0),"At Risk","Covered")))</x:f>
      </x:c>
      <x:c r="P84" s="64" t="str">
        <x:f>IF(A84="","",IF(OR(B84="",C84="",E84="",F84="",G84="",H84="",J84="",G84&lt;F84,I84&lt;=0,COUNTIF($A$11:$A$90,A84)&gt;1),"ERROR","PASS"))</x:f>
      </x:c>
      <x:c r="Q84" s="74" t="n">
        <x:f>IF(P84="ERROR",ROW()-10,IF(N84="Overlap",100+ROW()-10,IF(AND(O84="At Risk",OR(J84="Pending",AND(J84="Approved",F84&gt;='SETUP'!$D$13))),200+ROW()-10,IF(J84="Pending",300+ROW()-10,9999))))</x:f>
        <x:v>9999</x:v>
      </x:c>
    </x:row>
    <x:row r="85">
      <x:c r="A85" s="61"/>
      <x:c r="B85" s="61"/>
      <x:c r="C85" s="64" t="str">
        <x:f>IF(B85="","",IFERROR(INDEX('EMPLOYEES'!$B$11:$B$60,MATCH(B85,'EMPLOYEES'!$A$11:$A$60,0)),""))</x:f>
      </x:c>
      <x:c r="D85" s="64" t="str">
        <x:f>IF(B85="","",IFERROR(INDEX('EMPLOYEES'!$C$11:$C$60,MATCH(B85,'EMPLOYEES'!$A$11:$A$60,0)),""))</x:f>
      </x:c>
      <x:c r="E85" s="61"/>
      <x:c r="F85" s="66"/>
      <x:c r="G85" s="66"/>
      <x:c r="H85" s="69"/>
      <x:c r="I85" s="70" t="str">
        <x:f>IF(OR(F85="",G85="",H85=""),"",MAX(0,NETWORKDAYS(F85,G85)*H85))</x:f>
      </x:c>
      <x:c r="J85" s="61"/>
      <x:c r="K85" s="61"/>
      <x:c r="L85" s="66"/>
      <x:c r="M85" s="61"/>
      <x:c r="N85" s="64" t="str">
        <x:f>IF(A85="","",IF(COUNTIFS($B$11:$B$90,B85,$F$11:$F$90,"&lt;="&amp;G85,$G$11:$G$90,"&gt;="&amp;F85,$J$11:$J$90,"&lt;&gt;Declined",$J$11:$J$90,"&lt;&gt;Cancelled")&gt;1,"Overlap","Clear"))</x:f>
      </x:c>
      <x:c r="O85" s="64" t="str">
        <x:f>IF(A85="","",IF(OR(J85="Declined",J85="Cancelled"),"Not applicable",IF(COUNTIFS('EMPLOYEES'!$C$11:$C$60,D85,'EMPLOYEES'!$F$11:$F$60,"Active")-COUNTIFS($D$11:$D$90,D85,$F$11:$F$90,"&lt;="&amp;F85,$G$11:$G$90,"&gt;="&amp;F85,$J$11:$J$90,"Approved")-IF(J85="Pending",1,0)&lt;IFERROR(INDEX('SETUP'!$K$19:$K$23,MATCH(D85,'SETUP'!$J$19:$J$23,0)),0),"At Risk","Covered")))</x:f>
      </x:c>
      <x:c r="P85" s="64" t="str">
        <x:f>IF(A85="","",IF(OR(B85="",C85="",E85="",F85="",G85="",H85="",J85="",G85&lt;F85,I85&lt;=0,COUNTIF($A$11:$A$90,A85)&gt;1),"ERROR","PASS"))</x:f>
      </x:c>
      <x:c r="Q85" s="74" t="n">
        <x:f>IF(P85="ERROR",ROW()-10,IF(N85="Overlap",100+ROW()-10,IF(AND(O85="At Risk",OR(J85="Pending",AND(J85="Approved",F85&gt;='SETUP'!$D$13))),200+ROW()-10,IF(J85="Pending",300+ROW()-10,9999))))</x:f>
        <x:v>9999</x:v>
      </x:c>
    </x:row>
    <x:row r="86">
      <x:c r="A86" s="61"/>
      <x:c r="B86" s="61"/>
      <x:c r="C86" s="64" t="str">
        <x:f>IF(B86="","",IFERROR(INDEX('EMPLOYEES'!$B$11:$B$60,MATCH(B86,'EMPLOYEES'!$A$11:$A$60,0)),""))</x:f>
      </x:c>
      <x:c r="D86" s="64" t="str">
        <x:f>IF(B86="","",IFERROR(INDEX('EMPLOYEES'!$C$11:$C$60,MATCH(B86,'EMPLOYEES'!$A$11:$A$60,0)),""))</x:f>
      </x:c>
      <x:c r="E86" s="61"/>
      <x:c r="F86" s="66"/>
      <x:c r="G86" s="66"/>
      <x:c r="H86" s="69"/>
      <x:c r="I86" s="70" t="str">
        <x:f>IF(OR(F86="",G86="",H86=""),"",MAX(0,NETWORKDAYS(F86,G86)*H86))</x:f>
      </x:c>
      <x:c r="J86" s="61"/>
      <x:c r="K86" s="61"/>
      <x:c r="L86" s="66"/>
      <x:c r="M86" s="61"/>
      <x:c r="N86" s="64" t="str">
        <x:f>IF(A86="","",IF(COUNTIFS($B$11:$B$90,B86,$F$11:$F$90,"&lt;="&amp;G86,$G$11:$G$90,"&gt;="&amp;F86,$J$11:$J$90,"&lt;&gt;Declined",$J$11:$J$90,"&lt;&gt;Cancelled")&gt;1,"Overlap","Clear"))</x:f>
      </x:c>
      <x:c r="O86" s="64" t="str">
        <x:f>IF(A86="","",IF(OR(J86="Declined",J86="Cancelled"),"Not applicable",IF(COUNTIFS('EMPLOYEES'!$C$11:$C$60,D86,'EMPLOYEES'!$F$11:$F$60,"Active")-COUNTIFS($D$11:$D$90,D86,$F$11:$F$90,"&lt;="&amp;F86,$G$11:$G$90,"&gt;="&amp;F86,$J$11:$J$90,"Approved")-IF(J86="Pending",1,0)&lt;IFERROR(INDEX('SETUP'!$K$19:$K$23,MATCH(D86,'SETUP'!$J$19:$J$23,0)),0),"At Risk","Covered")))</x:f>
      </x:c>
      <x:c r="P86" s="64" t="str">
        <x:f>IF(A86="","",IF(OR(B86="",C86="",E86="",F86="",G86="",H86="",J86="",G86&lt;F86,I86&lt;=0,COUNTIF($A$11:$A$90,A86)&gt;1),"ERROR","PASS"))</x:f>
      </x:c>
      <x:c r="Q86" s="74" t="n">
        <x:f>IF(P86="ERROR",ROW()-10,IF(N86="Overlap",100+ROW()-10,IF(AND(O86="At Risk",OR(J86="Pending",AND(J86="Approved",F86&gt;='SETUP'!$D$13))),200+ROW()-10,IF(J86="Pending",300+ROW()-10,9999))))</x:f>
        <x:v>9999</x:v>
      </x:c>
    </x:row>
    <x:row r="87">
      <x:c r="A87" s="61"/>
      <x:c r="B87" s="61"/>
      <x:c r="C87" s="64" t="str">
        <x:f>IF(B87="","",IFERROR(INDEX('EMPLOYEES'!$B$11:$B$60,MATCH(B87,'EMPLOYEES'!$A$11:$A$60,0)),""))</x:f>
      </x:c>
      <x:c r="D87" s="64" t="str">
        <x:f>IF(B87="","",IFERROR(INDEX('EMPLOYEES'!$C$11:$C$60,MATCH(B87,'EMPLOYEES'!$A$11:$A$60,0)),""))</x:f>
      </x:c>
      <x:c r="E87" s="61"/>
      <x:c r="F87" s="66"/>
      <x:c r="G87" s="66"/>
      <x:c r="H87" s="69"/>
      <x:c r="I87" s="70" t="str">
        <x:f>IF(OR(F87="",G87="",H87=""),"",MAX(0,NETWORKDAYS(F87,G87)*H87))</x:f>
      </x:c>
      <x:c r="J87" s="61"/>
      <x:c r="K87" s="61"/>
      <x:c r="L87" s="66"/>
      <x:c r="M87" s="61"/>
      <x:c r="N87" s="64" t="str">
        <x:f>IF(A87="","",IF(COUNTIFS($B$11:$B$90,B87,$F$11:$F$90,"&lt;="&amp;G87,$G$11:$G$90,"&gt;="&amp;F87,$J$11:$J$90,"&lt;&gt;Declined",$J$11:$J$90,"&lt;&gt;Cancelled")&gt;1,"Overlap","Clear"))</x:f>
      </x:c>
      <x:c r="O87" s="64" t="str">
        <x:f>IF(A87="","",IF(OR(J87="Declined",J87="Cancelled"),"Not applicable",IF(COUNTIFS('EMPLOYEES'!$C$11:$C$60,D87,'EMPLOYEES'!$F$11:$F$60,"Active")-COUNTIFS($D$11:$D$90,D87,$F$11:$F$90,"&lt;="&amp;F87,$G$11:$G$90,"&gt;="&amp;F87,$J$11:$J$90,"Approved")-IF(J87="Pending",1,0)&lt;IFERROR(INDEX('SETUP'!$K$19:$K$23,MATCH(D87,'SETUP'!$J$19:$J$23,0)),0),"At Risk","Covered")))</x:f>
      </x:c>
      <x:c r="P87" s="64" t="str">
        <x:f>IF(A87="","",IF(OR(B87="",C87="",E87="",F87="",G87="",H87="",J87="",G87&lt;F87,I87&lt;=0,COUNTIF($A$11:$A$90,A87)&gt;1),"ERROR","PASS"))</x:f>
      </x:c>
      <x:c r="Q87" s="74" t="n">
        <x:f>IF(P87="ERROR",ROW()-10,IF(N87="Overlap",100+ROW()-10,IF(AND(O87="At Risk",OR(J87="Pending",AND(J87="Approved",F87&gt;='SETUP'!$D$13))),200+ROW()-10,IF(J87="Pending",300+ROW()-10,9999))))</x:f>
        <x:v>9999</x:v>
      </x:c>
    </x:row>
    <x:row r="88">
      <x:c r="A88" s="61"/>
      <x:c r="B88" s="61"/>
      <x:c r="C88" s="64" t="str">
        <x:f>IF(B88="","",IFERROR(INDEX('EMPLOYEES'!$B$11:$B$60,MATCH(B88,'EMPLOYEES'!$A$11:$A$60,0)),""))</x:f>
      </x:c>
      <x:c r="D88" s="64" t="str">
        <x:f>IF(B88="","",IFERROR(INDEX('EMPLOYEES'!$C$11:$C$60,MATCH(B88,'EMPLOYEES'!$A$11:$A$60,0)),""))</x:f>
      </x:c>
      <x:c r="E88" s="61"/>
      <x:c r="F88" s="66"/>
      <x:c r="G88" s="66"/>
      <x:c r="H88" s="69"/>
      <x:c r="I88" s="70" t="str">
        <x:f>IF(OR(F88="",G88="",H88=""),"",MAX(0,NETWORKDAYS(F88,G88)*H88))</x:f>
      </x:c>
      <x:c r="J88" s="61"/>
      <x:c r="K88" s="61"/>
      <x:c r="L88" s="66"/>
      <x:c r="M88" s="61"/>
      <x:c r="N88" s="64" t="str">
        <x:f>IF(A88="","",IF(COUNTIFS($B$11:$B$90,B88,$F$11:$F$90,"&lt;="&amp;G88,$G$11:$G$90,"&gt;="&amp;F88,$J$11:$J$90,"&lt;&gt;Declined",$J$11:$J$90,"&lt;&gt;Cancelled")&gt;1,"Overlap","Clear"))</x:f>
      </x:c>
      <x:c r="O88" s="64" t="str">
        <x:f>IF(A88="","",IF(OR(J88="Declined",J88="Cancelled"),"Not applicable",IF(COUNTIFS('EMPLOYEES'!$C$11:$C$60,D88,'EMPLOYEES'!$F$11:$F$60,"Active")-COUNTIFS($D$11:$D$90,D88,$F$11:$F$90,"&lt;="&amp;F88,$G$11:$G$90,"&gt;="&amp;F88,$J$11:$J$90,"Approved")-IF(J88="Pending",1,0)&lt;IFERROR(INDEX('SETUP'!$K$19:$K$23,MATCH(D88,'SETUP'!$J$19:$J$23,0)),0),"At Risk","Covered")))</x:f>
      </x:c>
      <x:c r="P88" s="64" t="str">
        <x:f>IF(A88="","",IF(OR(B88="",C88="",E88="",F88="",G88="",H88="",J88="",G88&lt;F88,I88&lt;=0,COUNTIF($A$11:$A$90,A88)&gt;1),"ERROR","PASS"))</x:f>
      </x:c>
      <x:c r="Q88" s="74" t="n">
        <x:f>IF(P88="ERROR",ROW()-10,IF(N88="Overlap",100+ROW()-10,IF(AND(O88="At Risk",OR(J88="Pending",AND(J88="Approved",F88&gt;='SETUP'!$D$13))),200+ROW()-10,IF(J88="Pending",300+ROW()-10,9999))))</x:f>
        <x:v>9999</x:v>
      </x:c>
    </x:row>
    <x:row r="89">
      <x:c r="A89" s="61"/>
      <x:c r="B89" s="61"/>
      <x:c r="C89" s="64" t="str">
        <x:f>IF(B89="","",IFERROR(INDEX('EMPLOYEES'!$B$11:$B$60,MATCH(B89,'EMPLOYEES'!$A$11:$A$60,0)),""))</x:f>
      </x:c>
      <x:c r="D89" s="64" t="str">
        <x:f>IF(B89="","",IFERROR(INDEX('EMPLOYEES'!$C$11:$C$60,MATCH(B89,'EMPLOYEES'!$A$11:$A$60,0)),""))</x:f>
      </x:c>
      <x:c r="E89" s="61"/>
      <x:c r="F89" s="66"/>
      <x:c r="G89" s="66"/>
      <x:c r="H89" s="69"/>
      <x:c r="I89" s="70" t="str">
        <x:f>IF(OR(F89="",G89="",H89=""),"",MAX(0,NETWORKDAYS(F89,G89)*H89))</x:f>
      </x:c>
      <x:c r="J89" s="61"/>
      <x:c r="K89" s="61"/>
      <x:c r="L89" s="66"/>
      <x:c r="M89" s="61"/>
      <x:c r="N89" s="64" t="str">
        <x:f>IF(A89="","",IF(COUNTIFS($B$11:$B$90,B89,$F$11:$F$90,"&lt;="&amp;G89,$G$11:$G$90,"&gt;="&amp;F89,$J$11:$J$90,"&lt;&gt;Declined",$J$11:$J$90,"&lt;&gt;Cancelled")&gt;1,"Overlap","Clear"))</x:f>
      </x:c>
      <x:c r="O89" s="64" t="str">
        <x:f>IF(A89="","",IF(OR(J89="Declined",J89="Cancelled"),"Not applicable",IF(COUNTIFS('EMPLOYEES'!$C$11:$C$60,D89,'EMPLOYEES'!$F$11:$F$60,"Active")-COUNTIFS($D$11:$D$90,D89,$F$11:$F$90,"&lt;="&amp;F89,$G$11:$G$90,"&gt;="&amp;F89,$J$11:$J$90,"Approved")-IF(J89="Pending",1,0)&lt;IFERROR(INDEX('SETUP'!$K$19:$K$23,MATCH(D89,'SETUP'!$J$19:$J$23,0)),0),"At Risk","Covered")))</x:f>
      </x:c>
      <x:c r="P89" s="64" t="str">
        <x:f>IF(A89="","",IF(OR(B89="",C89="",E89="",F89="",G89="",H89="",J89="",G89&lt;F89,I89&lt;=0,COUNTIF($A$11:$A$90,A89)&gt;1),"ERROR","PASS"))</x:f>
      </x:c>
      <x:c r="Q89" s="74" t="n">
        <x:f>IF(P89="ERROR",ROW()-10,IF(N89="Overlap",100+ROW()-10,IF(AND(O89="At Risk",OR(J89="Pending",AND(J89="Approved",F89&gt;='SETUP'!$D$13))),200+ROW()-10,IF(J89="Pending",300+ROW()-10,9999))))</x:f>
        <x:v>9999</x:v>
      </x:c>
    </x:row>
    <x:row r="90">
      <x:c r="A90" s="62"/>
      <x:c r="B90" s="62"/>
      <x:c r="C90" s="65" t="str">
        <x:f>IF(B90="","",IFERROR(INDEX('EMPLOYEES'!$B$11:$B$60,MATCH(B90,'EMPLOYEES'!$A$11:$A$60,0)),""))</x:f>
      </x:c>
      <x:c r="D90" s="65" t="str">
        <x:f>IF(B90="","",IFERROR(INDEX('EMPLOYEES'!$C$11:$C$60,MATCH(B90,'EMPLOYEES'!$A$11:$A$60,0)),""))</x:f>
      </x:c>
      <x:c r="E90" s="62"/>
      <x:c r="F90" s="67"/>
      <x:c r="G90" s="67"/>
      <x:c r="H90" s="71"/>
      <x:c r="I90" s="72" t="str">
        <x:f>IF(OR(F90="",G90="",H90=""),"",MAX(0,NETWORKDAYS(F90,G90)*H90))</x:f>
      </x:c>
      <x:c r="J90" s="62"/>
      <x:c r="K90" s="62"/>
      <x:c r="L90" s="67"/>
      <x:c r="M90" s="62"/>
      <x:c r="N90" s="65" t="str">
        <x:f>IF(A90="","",IF(COUNTIFS($B$11:$B$90,B90,$F$11:$F$90,"&lt;="&amp;G90,$G$11:$G$90,"&gt;="&amp;F90,$J$11:$J$90,"&lt;&gt;Declined",$J$11:$J$90,"&lt;&gt;Cancelled")&gt;1,"Overlap","Clear"))</x:f>
      </x:c>
      <x:c r="O90" s="65" t="str">
        <x:f>IF(A90="","",IF(OR(J90="Declined",J90="Cancelled"),"Not applicable",IF(COUNTIFS('EMPLOYEES'!$C$11:$C$60,D90,'EMPLOYEES'!$F$11:$F$60,"Active")-COUNTIFS($D$11:$D$90,D90,$F$11:$F$90,"&lt;="&amp;F90,$G$11:$G$90,"&gt;="&amp;F90,$J$11:$J$90,"Approved")-IF(J90="Pending",1,0)&lt;IFERROR(INDEX('SETUP'!$K$19:$K$23,MATCH(D90,'SETUP'!$J$19:$J$23,0)),0),"At Risk","Covered")))</x:f>
      </x:c>
      <x:c r="P90" s="65" t="str">
        <x:f>IF(A90="","",IF(OR(B90="",C90="",E90="",F90="",G90="",H90="",J90="",G90&lt;F90,I90&lt;=0,COUNTIF($A$11:$A$90,A90)&gt;1),"ERROR","PASS"))</x:f>
      </x:c>
      <x:c r="Q90" s="75" t="n">
        <x:f>IF(P90="ERROR",ROW()-10,IF(N90="Overlap",100+ROW()-10,IF(AND(O90="At Risk",OR(J90="Pending",AND(J90="Approved",F90&gt;='SETUP'!$D$13))),200+ROW()-10,IF(J90="Pending",300+ROW()-10,9999))))</x:f>
        <x:v>9999</x:v>
      </x:c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</x:mergeCells>
  <x:conditionalFormatting sqref="N11:N90">
    <x:cfRule type="cellIs" dxfId="1" priority="1" operator="equal">
      <x:formula>"Overlap"</x:formula>
    </x:cfRule>
  </x:conditionalFormatting>
  <x:conditionalFormatting sqref="O11:O90">
    <x:cfRule type="cellIs" dxfId="2" priority="2" operator="equal">
      <x:formula>"At Risk"</x:formula>
    </x:cfRule>
  </x:conditionalFormatting>
  <x:conditionalFormatting sqref="P11:P90">
    <x:cfRule type="cellIs" dxfId="3" priority="3" operator="equal">
      <x:formula>"ERROR"</x:formula>
    </x:cfRule>
  </x:conditionalFormatting>
  <x:dataValidations count="4">
    <x:dataValidation type="list" sqref="B11:B90">
      <x:formula1>$AA$11:$AA$18</x:formula1>
    </x:dataValidation>
    <x:dataValidation type="list" sqref="E11:E90">
      <x:formula1>$AB$11:$AB$14</x:formula1>
    </x:dataValidation>
    <x:dataValidation type="list" sqref="H11:H90">
      <x:formula1>$AC$11:$AC$12</x:formula1>
    </x:dataValidation>
    <x:dataValidation type="list" sqref="J11:J90">
      <x:formula1>$AD$11:$AD$14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ddb3c941c4c4baf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1" hidden="0" customWidth="1"/>
    <x:col min="3" max="3" width="18" hidden="0" customWidth="1"/>
    <x:col min="4" max="4" width="20" hidden="0" customWidth="1"/>
    <x:col min="5" max="5" width="14" hidden="0" customWidth="1"/>
    <x:col min="6" max="6" width="16" hidden="0" customWidth="1"/>
    <x:col min="7" max="7" width="14" hidden="0" customWidth="1"/>
    <x:col min="8" max="8" width="16" hidden="0" customWidth="1"/>
    <x:col min="9" max="9" width="18" hidden="0" customWidth="1"/>
    <x:col min="10" max="10" width="18" hidden="0" customWidth="1"/>
    <x:col min="11" max="11" width="16" hidden="0" customWidth="1"/>
  </x:cols>
  <x:sheetData>
    <x:row r="1" ht="20" customHeight="1">
      <x:c r="A1" s="12" t="str">
        <x:v>Home</x:v>
      </x:c>
      <x:c r="B1" s="13" t="str">
        <x:v>Home</x:v>
      </x:c>
      <x:c r="C1" s="12" t="str">
        <x:v>Setup</x:v>
      </x:c>
      <x:c r="D1" s="13" t="str">
        <x:v>Setup</x:v>
      </x:c>
      <x:c r="E1" s="12" t="str">
        <x:v>Employees</x:v>
      </x:c>
      <x:c r="F1" s="13" t="str">
        <x:v>Employees</x:v>
      </x:c>
      <x:c r="G1" s="12" t="str">
        <x:v>Requests</x:v>
      </x:c>
      <x:c r="H1" s="13" t="str">
        <x:v>Requests</x:v>
      </x:c>
      <x:c r="I1" s="9" t="str">
        <x:v>Balances</x:v>
      </x:c>
      <x:c r="J1" s="10" t="str">
        <x:v>Balances</x:v>
      </x:c>
      <x:c r="K1" s="12" t="str">
        <x:v>Calendar</x:v>
      </x:c>
      <x:c r="L1" s="13" t="str">
        <x:v>Calendar</x:v>
      </x:c>
      <x:c r="M1" s="12" t="str">
        <x:v>Coverage</x:v>
      </x:c>
      <x:c r="N1" s="13" t="str">
        <x:v>Coverage</x:v>
      </x:c>
      <x:c r="O1" s="12" t="str">
        <x:v>Dashboard</x:v>
      </x:c>
      <x:c r="P1" s="13" t="str">
        <x:v>Dashboard</x:v>
      </x:c>
      <x:c r="Q1" s="12" t="str">
        <x:v>Audit</x:v>
      </x:c>
      <x:c r="R1" s="13" t="str">
        <x:v>Audit</x:v>
      </x:c>
      <x:c r="S1" s="6"/>
      <x:c r="T1" s="6"/>
    </x:row>
    <x:row r="2" ht="20" customHeight="1">
      <x:c r="A2" s="12" t="str">
        <x:v>Home</x:v>
      </x:c>
      <x:c r="B2" s="13" t="str">
        <x:v>Home</x:v>
      </x:c>
      <x:c r="C2" s="12" t="str">
        <x:v>Setup</x:v>
      </x:c>
      <x:c r="D2" s="13" t="str">
        <x:v>Setup</x:v>
      </x:c>
      <x:c r="E2" s="12" t="str">
        <x:v>Employees</x:v>
      </x:c>
      <x:c r="F2" s="13" t="str">
        <x:v>Employees</x:v>
      </x:c>
      <x:c r="G2" s="12" t="str">
        <x:v>Requests</x:v>
      </x:c>
      <x:c r="H2" s="13" t="str">
        <x:v>Requests</x:v>
      </x:c>
      <x:c r="I2" s="9" t="str">
        <x:v>Balances</x:v>
      </x:c>
      <x:c r="J2" s="10" t="str">
        <x:v>Balances</x:v>
      </x:c>
      <x:c r="K2" s="12" t="str">
        <x:v>Calendar</x:v>
      </x:c>
      <x:c r="L2" s="13" t="str">
        <x:v>Calendar</x:v>
      </x:c>
      <x:c r="M2" s="12" t="str">
        <x:v>Coverage</x:v>
      </x:c>
      <x:c r="N2" s="13" t="str">
        <x:v>Coverage</x:v>
      </x:c>
      <x:c r="O2" s="12" t="str">
        <x:v>Dashboard</x:v>
      </x:c>
      <x:c r="P2" s="13" t="str">
        <x:v>Dashboard</x:v>
      </x:c>
      <x:c r="Q2" s="12" t="str">
        <x:v>Audit</x:v>
      </x:c>
      <x:c r="R2" s="13" t="str">
        <x:v>Audit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ENTITLEMENT CONTROL</x:v>
      </x:c>
      <x:c r="B4" s="15" t="str">
        <x:v>ENTITLEMENT CONTROL</x:v>
      </x:c>
      <x:c r="C4" s="15" t="str">
        <x:v>ENTITLEMENT CONTROL</x:v>
      </x:c>
      <x:c r="D4" s="15" t="str">
        <x:v>ENTITLEMENT CONTROL</x:v>
      </x:c>
      <x:c r="E4" s="15" t="str">
        <x:v>ENTITLEMENT CONTROL</x:v>
      </x:c>
      <x:c r="F4" s="15" t="str">
        <x:v>ENTITLEMENT CONTROL</x:v>
      </x:c>
      <x:c r="G4" s="15" t="str">
        <x:v>ENTITLEMENT CONTROL</x:v>
      </x:c>
      <x:c r="H4" s="15" t="str">
        <x:v>ENTITLEMENT CONTROL</x:v>
      </x:c>
      <x:c r="I4" s="15" t="str">
        <x:v>ENTITLEMENT CONTROL</x:v>
      </x:c>
      <x:c r="J4" s="15" t="str">
        <x:v>ENTITLEMENT CONTROL</x:v>
      </x:c>
      <x:c r="K4" s="15" t="str">
        <x:v>ENTITLEMENT CONTROL</x:v>
      </x:c>
      <x:c r="L4" s="15" t="str">
        <x:v>ENTITLEMENT CONTROL</x:v>
      </x:c>
      <x:c r="M4" s="15" t="str">
        <x:v>ENTITLEMENT CONTROL</x:v>
      </x:c>
      <x:c r="N4" s="15" t="str">
        <x:v>ENTITLEMENT CONTROL</x:v>
      </x:c>
      <x:c r="O4" s="15" t="str">
        <x:v>ENTITLEMENT CONTROL</x:v>
      </x:c>
      <x:c r="P4" s="15" t="str">
        <x:v>ENTITLEMENT CONTROL</x:v>
      </x:c>
      <x:c r="Q4" s="15" t="str">
        <x:v>ENTITLEMENT CONTROL</x:v>
      </x:c>
      <x:c r="R4" s="15" t="str">
        <x:v>ENTITLEMENT CONTROL</x:v>
      </x:c>
      <x:c r="S4" s="15" t="str">
        <x:v>ENTITLEMENT CONTROL</x:v>
      </x:c>
      <x:c r="T4" s="15" t="str">
        <x:v>ENTITLEMENT CONTROL</x:v>
      </x:c>
    </x:row>
    <x:row r="5" ht="24" customHeight="1">
      <x:c r="A5" s="17" t="str">
        <x:v>Live Leave Balances</x:v>
      </x:c>
      <x:c r="B5" s="17" t="str">
        <x:v>Live Leave Balances</x:v>
      </x:c>
      <x:c r="C5" s="17" t="str">
        <x:v>Live Leave Balances</x:v>
      </x:c>
      <x:c r="D5" s="17" t="str">
        <x:v>Live Leave Balances</x:v>
      </x:c>
      <x:c r="E5" s="17" t="str">
        <x:v>Live Leave Balances</x:v>
      </x:c>
      <x:c r="F5" s="17" t="str">
        <x:v>Live Leave Balances</x:v>
      </x:c>
      <x:c r="G5" s="17" t="str">
        <x:v>Live Leave Balances</x:v>
      </x:c>
      <x:c r="H5" s="17" t="str">
        <x:v>Live Leave Balances</x:v>
      </x:c>
      <x:c r="I5" s="17" t="str">
        <x:v>Live Leave Balances</x:v>
      </x:c>
      <x:c r="J5" s="17" t="str">
        <x:v>Live Leave Balances</x:v>
      </x:c>
      <x:c r="K5" s="17" t="str">
        <x:v>Live Leave Balances</x:v>
      </x:c>
      <x:c r="L5" s="17" t="str">
        <x:v>Live Leave Balances</x:v>
      </x:c>
      <x:c r="M5" s="17" t="str">
        <x:v>Live Leave Balances</x:v>
      </x:c>
      <x:c r="N5" s="17" t="str">
        <x:v>Live Leave Balances</x:v>
      </x:c>
      <x:c r="O5" s="17" t="str">
        <x:v>Live Leave Balances</x:v>
      </x:c>
      <x:c r="P5" s="17" t="str">
        <x:v>Live Leave Balances</x:v>
      </x:c>
      <x:c r="Q5" s="17" t="str">
        <x:v>Live Leave Balances</x:v>
      </x:c>
      <x:c r="R5" s="17" t="str">
        <x:v>Live Leave Balances</x:v>
      </x:c>
      <x:c r="S5" s="17" t="str">
        <x:v>Live Leave Balances</x:v>
      </x:c>
      <x:c r="T5" s="17" t="str">
        <x:v>Live Leave Balances</x:v>
      </x:c>
    </x:row>
    <x:row r="6" ht="24" customHeight="1">
      <x:c r="A6" s="18" t="str">
        <x:v>Live Leave Balances</x:v>
      </x:c>
      <x:c r="B6" s="18" t="str">
        <x:v>Live Leave Balances</x:v>
      </x:c>
      <x:c r="C6" s="18" t="str">
        <x:v>Live Leave Balances</x:v>
      </x:c>
      <x:c r="D6" s="18" t="str">
        <x:v>Live Leave Balances</x:v>
      </x:c>
      <x:c r="E6" s="18" t="str">
        <x:v>Live Leave Balances</x:v>
      </x:c>
      <x:c r="F6" s="18" t="str">
        <x:v>Live Leave Balances</x:v>
      </x:c>
      <x:c r="G6" s="18" t="str">
        <x:v>Live Leave Balances</x:v>
      </x:c>
      <x:c r="H6" s="18" t="str">
        <x:v>Live Leave Balances</x:v>
      </x:c>
      <x:c r="I6" s="18" t="str">
        <x:v>Live Leave Balances</x:v>
      </x:c>
      <x:c r="J6" s="18" t="str">
        <x:v>Live Leave Balances</x:v>
      </x:c>
      <x:c r="K6" s="18" t="str">
        <x:v>Live Leave Balances</x:v>
      </x:c>
      <x:c r="L6" s="18" t="str">
        <x:v>Live Leave Balances</x:v>
      </x:c>
      <x:c r="M6" s="18" t="str">
        <x:v>Live Leave Balances</x:v>
      </x:c>
      <x:c r="N6" s="18" t="str">
        <x:v>Live Leave Balances</x:v>
      </x:c>
      <x:c r="O6" s="18" t="str">
        <x:v>Live Leave Balances</x:v>
      </x:c>
      <x:c r="P6" s="18" t="str">
        <x:v>Live Leave Balances</x:v>
      </x:c>
      <x:c r="Q6" s="18" t="str">
        <x:v>Live Leave Balances</x:v>
      </x:c>
      <x:c r="R6" s="18" t="str">
        <x:v>Live Leave Balances</x:v>
      </x:c>
      <x:c r="S6" s="18" t="str">
        <x:v>Live Leave Balances</x:v>
      </x:c>
      <x:c r="T6" s="18" t="str">
        <x:v>Live Leave Balances</x:v>
      </x:c>
    </x:row>
    <x:row r="7" ht="18" customHeight="1">
      <x:c r="A7" s="20" t="str">
        <x:v>See entitlement, approved use, pending exposure, and projected availability by employee.</x:v>
      </x:c>
      <x:c r="B7" s="20" t="str">
        <x:v>See entitlement, approved use, pending exposure, and projected availability by employee.</x:v>
      </x:c>
      <x:c r="C7" s="20" t="str">
        <x:v>See entitlement, approved use, pending exposure, and projected availability by employee.</x:v>
      </x:c>
      <x:c r="D7" s="20" t="str">
        <x:v>See entitlement, approved use, pending exposure, and projected availability by employee.</x:v>
      </x:c>
      <x:c r="E7" s="20" t="str">
        <x:v>See entitlement, approved use, pending exposure, and projected availability by employee.</x:v>
      </x:c>
      <x:c r="F7" s="20" t="str">
        <x:v>See entitlement, approved use, pending exposure, and projected availability by employee.</x:v>
      </x:c>
      <x:c r="G7" s="20" t="str">
        <x:v>See entitlement, approved use, pending exposure, and projected availability by employee.</x:v>
      </x:c>
      <x:c r="H7" s="20" t="str">
        <x:v>See entitlement, approved use, pending exposure, and projected availability by employee.</x:v>
      </x:c>
      <x:c r="I7" s="20" t="str">
        <x:v>See entitlement, approved use, pending exposure, and projected availability by employee.</x:v>
      </x:c>
      <x:c r="J7" s="20" t="str">
        <x:v>See entitlement, approved use, pending exposure, and projected availability by employee.</x:v>
      </x:c>
      <x:c r="K7" s="20" t="str">
        <x:v>See entitlement, approved use, pending exposure, and projected availability by employee.</x:v>
      </x:c>
      <x:c r="L7" s="20" t="str">
        <x:v>See entitlement, approved use, pending exposure, and projected availability by employee.</x:v>
      </x:c>
      <x:c r="M7" s="20" t="str">
        <x:v>See entitlement, approved use, pending exposure, and projected availability by employee.</x:v>
      </x:c>
      <x:c r="N7" s="20" t="str">
        <x:v>See entitlement, approved use, pending exposure, and projected availability by employee.</x:v>
      </x:c>
      <x:c r="O7" s="20" t="str">
        <x:v>See entitlement, approved use, pending exposure, and projected availability by employee.</x:v>
      </x:c>
      <x:c r="P7" s="20" t="str">
        <x:v>See entitlement, approved use, pending exposure, and projected availability by employee.</x:v>
      </x:c>
      <x:c r="Q7" s="20" t="str">
        <x:v>See entitlement, approved use, pending exposure, and projected availability by employee.</x:v>
      </x:c>
      <x:c r="R7" s="20" t="str">
        <x:v>See entitlement, approved use, pending exposure, and projected availability by employee.</x:v>
      </x:c>
      <x:c r="S7" s="20" t="str">
        <x:v>See entitlement, approved use, pending exposure, and projected availability by employee.</x:v>
      </x:c>
      <x:c r="T7" s="20" t="str">
        <x:v>See entitlement, approved use, pending exposure, and projected availability by employee.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Employee ID</x:v>
      </x:c>
      <x:c r="B10" s="33" t="str">
        <x:v>Employee name</x:v>
      </x:c>
      <x:c r="C10" s="33" t="str">
        <x:v>Department</x:v>
      </x:c>
      <x:c r="D10" s="33" t="str">
        <x:v>Leave type</x:v>
      </x:c>
      <x:c r="E10" s="33" t="str">
        <x:v>Opening balance</x:v>
      </x:c>
      <x:c r="F10" s="33" t="str">
        <x:v>Annual entitlement</x:v>
      </x:c>
      <x:c r="G10" s="33" t="str">
        <x:v>Approved used</x:v>
      </x:c>
      <x:c r="H10" s="33" t="str">
        <x:v>Pending exposure</x:v>
      </x:c>
      <x:c r="I10" s="33" t="str">
        <x:v>Available after approval</x:v>
      </x:c>
      <x:c r="J10" s="33" t="str">
        <x:v>Projected after pending</x:v>
      </x:c>
      <x:c r="K10" s="33" t="str">
        <x:v>Balance status</x:v>
      </x:c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26" t="str">
        <x:v>EMP-001</x:v>
      </x:c>
      <x:c r="B11" s="26" t="str">
        <x:v>Maya Bennett</x:v>
      </x:c>
      <x:c r="C11" s="26" t="str">
        <x:v>Operations</x:v>
      </x:c>
      <x:c r="D11" s="26" t="str">
        <x:v>Annual Leave</x:v>
      </x:c>
      <x:c r="E11" s="29" t="n">
        <x:v>0</x:v>
      </x:c>
      <x:c r="F11" s="68" t="n">
        <x:f>IF(A11="","",IFERROR(INDEX('SETUP'!$K$11:$K$14,MATCH(D11,'SETUP'!$J$11:$J$14,0))*INDEX('EMPLOYEES'!$G$11:$G$60,MATCH(A11,'EMPLOYEES'!$A$11:$A$60,0)),0))</x:f>
        <x:v>24</x:v>
      </x:c>
      <x:c r="G11" s="68" t="n">
        <x:f>IF(A11="","",SUMIFS('REQUESTS'!$I$11:$I$90,'REQUESTS'!$B$11:$B$90,A11,'REQUESTS'!$E$11:$E$90,D11,'REQUESTS'!$J$11:$J$90,"Approved"))</x:f>
        <x:v>8</x:v>
      </x:c>
      <x:c r="H11" s="68" t="n">
        <x:f>IF(A11="","",SUMIFS('REQUESTS'!$I$11:$I$90,'REQUESTS'!$B$11:$B$90,A11,'REQUESTS'!$E$11:$E$90,D11,'REQUESTS'!$J$11:$J$90,"Pending"))</x:f>
        <x:v>0</x:v>
      </x:c>
      <x:c r="I11" s="68" t="n">
        <x:f>IF(A11="","",E11+F11-G11)</x:f>
        <x:v>16</x:v>
      </x:c>
      <x:c r="J11" s="68" t="n">
        <x:f>IF(A11="","",I11-H11)</x:f>
        <x:v>16</x:v>
      </x:c>
      <x:c r="K11" s="55" t="str">
        <x:f>IF(A11="","",IF(F11=0,"Not applicable",IF(J11&lt;0,"At Risk",IF(J11&lt;='SETUP'!$D$16,"Low","Healthy"))))</x:f>
        <x:v>Healthy</x:v>
      </x:c>
      <x:c r="L11" s="4"/>
      <x:c r="M11" s="4"/>
      <x:c r="N11" s="4"/>
      <x:c r="O11" s="4"/>
      <x:c r="P11" s="4"/>
      <x:c r="Q11" s="4"/>
      <x:c r="R11" s="4"/>
      <x:c r="S11" s="4"/>
      <x:c r="T11" s="4"/>
    </x:row>
    <x:row r="12">
      <x:c r="A12" s="26" t="str">
        <x:v>EMP-001</x:v>
      </x:c>
      <x:c r="B12" s="26" t="str">
        <x:v>Maya Bennett</x:v>
      </x:c>
      <x:c r="C12" s="26" t="str">
        <x:v>Operations</x:v>
      </x:c>
      <x:c r="D12" s="26" t="str">
        <x:v>Sick Leave</x:v>
      </x:c>
      <x:c r="E12" s="29" t="n">
        <x:v>0</x:v>
      </x:c>
      <x:c r="F12" s="68" t="n">
        <x:f>IF(A12="","",IFERROR(INDEX('SETUP'!$K$11:$K$14,MATCH(D12,'SETUP'!$J$11:$J$14,0))*INDEX('EMPLOYEES'!$G$11:$G$60,MATCH(A12,'EMPLOYEES'!$A$11:$A$60,0)),0))</x:f>
        <x:v>10</x:v>
      </x:c>
      <x:c r="G12" s="68" t="n">
        <x:f>IF(A12="","",SUMIFS('REQUESTS'!$I$11:$I$90,'REQUESTS'!$B$11:$B$90,A12,'REQUESTS'!$E$11:$E$90,D12,'REQUESTS'!$J$11:$J$90,"Approved"))</x:f>
        <x:v>0</x:v>
      </x:c>
      <x:c r="H12" s="68" t="n">
        <x:f>IF(A12="","",SUMIFS('REQUESTS'!$I$11:$I$90,'REQUESTS'!$B$11:$B$90,A12,'REQUESTS'!$E$11:$E$90,D12,'REQUESTS'!$J$11:$J$90,"Pending"))</x:f>
        <x:v>0</x:v>
      </x:c>
      <x:c r="I12" s="68" t="n">
        <x:f>IF(A12="","",E12+F12-G12)</x:f>
        <x:v>10</x:v>
      </x:c>
      <x:c r="J12" s="68" t="n">
        <x:f>IF(A12="","",I12-H12)</x:f>
        <x:v>10</x:v>
      </x:c>
      <x:c r="K12" s="55" t="str">
        <x:f>IF(A12="","",IF(F12=0,"Not applicable",IF(J12&lt;0,"At Risk",IF(J12&lt;='SETUP'!$D$16,"Low","Healthy"))))</x:f>
        <x:v>Healthy</x:v>
      </x:c>
      <x:c r="L12" s="4"/>
      <x:c r="M12" s="4"/>
      <x:c r="N12" s="4"/>
      <x:c r="O12" s="4"/>
      <x:c r="P12" s="4"/>
      <x:c r="Q12" s="4"/>
      <x:c r="R12" s="4"/>
      <x:c r="S12" s="4"/>
      <x:c r="T12" s="4"/>
    </x:row>
    <x:row r="13">
      <x:c r="A13" s="26" t="str">
        <x:v>EMP-001</x:v>
      </x:c>
      <x:c r="B13" s="26" t="str">
        <x:v>Maya Bennett</x:v>
      </x:c>
      <x:c r="C13" s="26" t="str">
        <x:v>Operations</x:v>
      </x:c>
      <x:c r="D13" s="26" t="str">
        <x:v>Personal Leave</x:v>
      </x:c>
      <x:c r="E13" s="29" t="n">
        <x:v>0</x:v>
      </x:c>
      <x:c r="F13" s="68" t="n">
        <x:f>IF(A13="","",IFERROR(INDEX('SETUP'!$K$11:$K$14,MATCH(D13,'SETUP'!$J$11:$J$14,0))*INDEX('EMPLOYEES'!$G$11:$G$60,MATCH(A13,'EMPLOYEES'!$A$11:$A$60,0)),0))</x:f>
        <x:v>5</x:v>
      </x:c>
      <x:c r="G13" s="68" t="n">
        <x:f>IF(A13="","",SUMIFS('REQUESTS'!$I$11:$I$90,'REQUESTS'!$B$11:$B$90,A13,'REQUESTS'!$E$11:$E$90,D13,'REQUESTS'!$J$11:$J$90,"Approved"))</x:f>
        <x:v>0</x:v>
      </x:c>
      <x:c r="H13" s="68" t="n">
        <x:f>IF(A13="","",SUMIFS('REQUESTS'!$I$11:$I$90,'REQUESTS'!$B$11:$B$90,A13,'REQUESTS'!$E$11:$E$90,D13,'REQUESTS'!$J$11:$J$90,"Pending"))</x:f>
        <x:v>0</x:v>
      </x:c>
      <x:c r="I13" s="68" t="n">
        <x:f>IF(A13="","",E13+F13-G13)</x:f>
        <x:v>5</x:v>
      </x:c>
      <x:c r="J13" s="68" t="n">
        <x:f>IF(A13="","",I13-H13)</x:f>
        <x:v>5</x:v>
      </x:c>
      <x:c r="K13" s="55" t="str">
        <x:f>IF(A13="","",IF(F13=0,"Not applicable",IF(J13&lt;0,"At Risk",IF(J13&lt;='SETUP'!$D$16,"Low","Healthy"))))</x:f>
        <x:v>Healthy</x:v>
      </x:c>
      <x:c r="L13" s="4"/>
      <x:c r="M13" s="4"/>
      <x:c r="N13" s="4"/>
      <x:c r="O13" s="4"/>
      <x:c r="P13" s="4"/>
      <x:c r="Q13" s="4"/>
      <x:c r="R13" s="4"/>
      <x:c r="S13" s="4"/>
      <x:c r="T13" s="4"/>
    </x:row>
    <x:row r="14">
      <x:c r="A14" s="26" t="str">
        <x:v>EMP-001</x:v>
      </x:c>
      <x:c r="B14" s="26" t="str">
        <x:v>Maya Bennett</x:v>
      </x:c>
      <x:c r="C14" s="26" t="str">
        <x:v>Operations</x:v>
      </x:c>
      <x:c r="D14" s="26" t="str">
        <x:v>Unpaid Leave</x:v>
      </x:c>
      <x:c r="E14" s="29" t="n">
        <x:v>0</x:v>
      </x:c>
      <x:c r="F14" s="68" t="n">
        <x:f>IF(A14="","",IFERROR(INDEX('SETUP'!$K$11:$K$14,MATCH(D14,'SETUP'!$J$11:$J$14,0))*INDEX('EMPLOYEES'!$G$11:$G$60,MATCH(A14,'EMPLOYEES'!$A$11:$A$60,0)),0))</x:f>
        <x:v>0</x:v>
      </x:c>
      <x:c r="G14" s="68" t="n">
        <x:f>IF(A14="","",SUMIFS('REQUESTS'!$I$11:$I$90,'REQUESTS'!$B$11:$B$90,A14,'REQUESTS'!$E$11:$E$90,D14,'REQUESTS'!$J$11:$J$90,"Approved"))</x:f>
        <x:v>0</x:v>
      </x:c>
      <x:c r="H14" s="68" t="n">
        <x:f>IF(A14="","",SUMIFS('REQUESTS'!$I$11:$I$90,'REQUESTS'!$B$11:$B$90,A14,'REQUESTS'!$E$11:$E$90,D14,'REQUESTS'!$J$11:$J$90,"Pending"))</x:f>
        <x:v>0</x:v>
      </x:c>
      <x:c r="I14" s="68" t="n">
        <x:f>IF(A14="","",E14+F14-G14)</x:f>
        <x:v>0</x:v>
      </x:c>
      <x:c r="J14" s="68" t="n">
        <x:f>IF(A14="","",I14-H14)</x:f>
        <x:v>0</x:v>
      </x:c>
      <x:c r="K14" s="55" t="str">
        <x:f>IF(A14="","",IF(F14=0,"Not applicable",IF(J14&lt;0,"At Risk",IF(J14&lt;='SETUP'!$D$16,"Low","Healthy"))))</x:f>
        <x:v>Not applicable</x:v>
      </x:c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26" t="str">
        <x:v>EMP-002</x:v>
      </x:c>
      <x:c r="B15" s="26" t="str">
        <x:v>Omar Haddad</x:v>
      </x:c>
      <x:c r="C15" s="26" t="str">
        <x:v>Operations</x:v>
      </x:c>
      <x:c r="D15" s="26" t="str">
        <x:v>Annual Leave</x:v>
      </x:c>
      <x:c r="E15" s="29" t="n">
        <x:v>0</x:v>
      </x:c>
      <x:c r="F15" s="68" t="n">
        <x:f>IF(A15="","",IFERROR(INDEX('SETUP'!$K$11:$K$14,MATCH(D15,'SETUP'!$J$11:$J$14,0))*INDEX('EMPLOYEES'!$G$11:$G$60,MATCH(A15,'EMPLOYEES'!$A$11:$A$60,0)),0))</x:f>
        <x:v>24</x:v>
      </x:c>
      <x:c r="G15" s="68" t="n">
        <x:f>IF(A15="","",SUMIFS('REQUESTS'!$I$11:$I$90,'REQUESTS'!$B$11:$B$90,A15,'REQUESTS'!$E$11:$E$90,D15,'REQUESTS'!$J$11:$J$90,"Approved"))</x:f>
        <x:v>0</x:v>
      </x:c>
      <x:c r="H15" s="68" t="n">
        <x:f>IF(A15="","",SUMIFS('REQUESTS'!$I$11:$I$90,'REQUESTS'!$B$11:$B$90,A15,'REQUESTS'!$E$11:$E$90,D15,'REQUESTS'!$J$11:$J$90,"Pending"))</x:f>
        <x:v>3</x:v>
      </x:c>
      <x:c r="I15" s="68" t="n">
        <x:f>IF(A15="","",E15+F15-G15)</x:f>
        <x:v>24</x:v>
      </x:c>
      <x:c r="J15" s="68" t="n">
        <x:f>IF(A15="","",I15-H15)</x:f>
        <x:v>21</x:v>
      </x:c>
      <x:c r="K15" s="55" t="str">
        <x:f>IF(A15="","",IF(F15=0,"Not applicable",IF(J15&lt;0,"At Risk",IF(J15&lt;='SETUP'!$D$16,"Low","Healthy"))))</x:f>
        <x:v>Healthy</x:v>
      </x:c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26" t="str">
        <x:v>EMP-002</x:v>
      </x:c>
      <x:c r="B16" s="26" t="str">
        <x:v>Omar Haddad</x:v>
      </x:c>
      <x:c r="C16" s="26" t="str">
        <x:v>Operations</x:v>
      </x:c>
      <x:c r="D16" s="26" t="str">
        <x:v>Sick Leave</x:v>
      </x:c>
      <x:c r="E16" s="29" t="n">
        <x:v>0</x:v>
      </x:c>
      <x:c r="F16" s="68" t="n">
        <x:f>IF(A16="","",IFERROR(INDEX('SETUP'!$K$11:$K$14,MATCH(D16,'SETUP'!$J$11:$J$14,0))*INDEX('EMPLOYEES'!$G$11:$G$60,MATCH(A16,'EMPLOYEES'!$A$11:$A$60,0)),0))</x:f>
        <x:v>10</x:v>
      </x:c>
      <x:c r="G16" s="68" t="n">
        <x:f>IF(A16="","",SUMIFS('REQUESTS'!$I$11:$I$90,'REQUESTS'!$B$11:$B$90,A16,'REQUESTS'!$E$11:$E$90,D16,'REQUESTS'!$J$11:$J$90,"Approved"))</x:f>
        <x:v>2</x:v>
      </x:c>
      <x:c r="H16" s="68" t="n">
        <x:f>IF(A16="","",SUMIFS('REQUESTS'!$I$11:$I$90,'REQUESTS'!$B$11:$B$90,A16,'REQUESTS'!$E$11:$E$90,D16,'REQUESTS'!$J$11:$J$90,"Pending"))</x:f>
        <x:v>0</x:v>
      </x:c>
      <x:c r="I16" s="68" t="n">
        <x:f>IF(A16="","",E16+F16-G16)</x:f>
        <x:v>8</x:v>
      </x:c>
      <x:c r="J16" s="68" t="n">
        <x:f>IF(A16="","",I16-H16)</x:f>
        <x:v>8</x:v>
      </x:c>
      <x:c r="K16" s="55" t="str">
        <x:f>IF(A16="","",IF(F16=0,"Not applicable",IF(J16&lt;0,"At Risk",IF(J16&lt;='SETUP'!$D$16,"Low","Healthy"))))</x:f>
        <x:v>Healthy</x:v>
      </x:c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26" t="str">
        <x:v>EMP-002</x:v>
      </x:c>
      <x:c r="B17" s="26" t="str">
        <x:v>Omar Haddad</x:v>
      </x:c>
      <x:c r="C17" s="26" t="str">
        <x:v>Operations</x:v>
      </x:c>
      <x:c r="D17" s="26" t="str">
        <x:v>Personal Leave</x:v>
      </x:c>
      <x:c r="E17" s="29" t="n">
        <x:v>0</x:v>
      </x:c>
      <x:c r="F17" s="68" t="n">
        <x:f>IF(A17="","",IFERROR(INDEX('SETUP'!$K$11:$K$14,MATCH(D17,'SETUP'!$J$11:$J$14,0))*INDEX('EMPLOYEES'!$G$11:$G$60,MATCH(A17,'EMPLOYEES'!$A$11:$A$60,0)),0))</x:f>
        <x:v>5</x:v>
      </x:c>
      <x:c r="G17" s="68" t="n">
        <x:f>IF(A17="","",SUMIFS('REQUESTS'!$I$11:$I$90,'REQUESTS'!$B$11:$B$90,A17,'REQUESTS'!$E$11:$E$90,D17,'REQUESTS'!$J$11:$J$90,"Approved"))</x:f>
        <x:v>0</x:v>
      </x:c>
      <x:c r="H17" s="68" t="n">
        <x:f>IF(A17="","",SUMIFS('REQUESTS'!$I$11:$I$90,'REQUESTS'!$B$11:$B$90,A17,'REQUESTS'!$E$11:$E$90,D17,'REQUESTS'!$J$11:$J$90,"Pending"))</x:f>
        <x:v>0</x:v>
      </x:c>
      <x:c r="I17" s="68" t="n">
        <x:f>IF(A17="","",E17+F17-G17)</x:f>
        <x:v>5</x:v>
      </x:c>
      <x:c r="J17" s="68" t="n">
        <x:f>IF(A17="","",I17-H17)</x:f>
        <x:v>5</x:v>
      </x:c>
      <x:c r="K17" s="55" t="str">
        <x:f>IF(A17="","",IF(F17=0,"Not applicable",IF(J17&lt;0,"At Risk",IF(J17&lt;='SETUP'!$D$16,"Low","Healthy"))))</x:f>
        <x:v>Healthy</x:v>
      </x:c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26" t="str">
        <x:v>EMP-002</x:v>
      </x:c>
      <x:c r="B18" s="26" t="str">
        <x:v>Omar Haddad</x:v>
      </x:c>
      <x:c r="C18" s="26" t="str">
        <x:v>Operations</x:v>
      </x:c>
      <x:c r="D18" s="26" t="str">
        <x:v>Unpaid Leave</x:v>
      </x:c>
      <x:c r="E18" s="29" t="n">
        <x:v>0</x:v>
      </x:c>
      <x:c r="F18" s="68" t="n">
        <x:f>IF(A18="","",IFERROR(INDEX('SETUP'!$K$11:$K$14,MATCH(D18,'SETUP'!$J$11:$J$14,0))*INDEX('EMPLOYEES'!$G$11:$G$60,MATCH(A18,'EMPLOYEES'!$A$11:$A$60,0)),0))</x:f>
        <x:v>0</x:v>
      </x:c>
      <x:c r="G18" s="68" t="n">
        <x:f>IF(A18="","",SUMIFS('REQUESTS'!$I$11:$I$90,'REQUESTS'!$B$11:$B$90,A18,'REQUESTS'!$E$11:$E$90,D18,'REQUESTS'!$J$11:$J$90,"Approved"))</x:f>
        <x:v>0</x:v>
      </x:c>
      <x:c r="H18" s="68" t="n">
        <x:f>IF(A18="","",SUMIFS('REQUESTS'!$I$11:$I$90,'REQUESTS'!$B$11:$B$90,A18,'REQUESTS'!$E$11:$E$90,D18,'REQUESTS'!$J$11:$J$90,"Pending"))</x:f>
        <x:v>0</x:v>
      </x:c>
      <x:c r="I18" s="68" t="n">
        <x:f>IF(A18="","",E18+F18-G18)</x:f>
        <x:v>0</x:v>
      </x:c>
      <x:c r="J18" s="68" t="n">
        <x:f>IF(A18="","",I18-H18)</x:f>
        <x:v>0</x:v>
      </x:c>
      <x:c r="K18" s="55" t="str">
        <x:f>IF(A18="","",IF(F18=0,"Not applicable",IF(J18&lt;0,"At Risk",IF(J18&lt;='SETUP'!$D$16,"Low","Healthy"))))</x:f>
        <x:v>Not applicable</x:v>
      </x:c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26" t="str">
        <x:v>EMP-003</x:v>
      </x:c>
      <x:c r="B19" s="26" t="str">
        <x:v>Sofia Alvarez</x:v>
      </x:c>
      <x:c r="C19" s="26" t="str">
        <x:v>Sales</x:v>
      </x:c>
      <x:c r="D19" s="26" t="str">
        <x:v>Annual Leave</x:v>
      </x:c>
      <x:c r="E19" s="29" t="n">
        <x:v>0</x:v>
      </x:c>
      <x:c r="F19" s="68" t="n">
        <x:f>IF(A19="","",IFERROR(INDEX('SETUP'!$K$11:$K$14,MATCH(D19,'SETUP'!$J$11:$J$14,0))*INDEX('EMPLOYEES'!$G$11:$G$60,MATCH(A19,'EMPLOYEES'!$A$11:$A$60,0)),0))</x:f>
        <x:v>24</x:v>
      </x:c>
      <x:c r="G19" s="68" t="n">
        <x:f>IF(A19="","",SUMIFS('REQUESTS'!$I$11:$I$90,'REQUESTS'!$B$11:$B$90,A19,'REQUESTS'!$E$11:$E$90,D19,'REQUESTS'!$J$11:$J$90,"Approved"))</x:f>
        <x:v>5</x:v>
      </x:c>
      <x:c r="H19" s="68" t="n">
        <x:f>IF(A19="","",SUMIFS('REQUESTS'!$I$11:$I$90,'REQUESTS'!$B$11:$B$90,A19,'REQUESTS'!$E$11:$E$90,D19,'REQUESTS'!$J$11:$J$90,"Pending"))</x:f>
        <x:v>5</x:v>
      </x:c>
      <x:c r="I19" s="68" t="n">
        <x:f>IF(A19="","",E19+F19-G19)</x:f>
        <x:v>19</x:v>
      </x:c>
      <x:c r="J19" s="68" t="n">
        <x:f>IF(A19="","",I19-H19)</x:f>
        <x:v>14</x:v>
      </x:c>
      <x:c r="K19" s="55" t="str">
        <x:f>IF(A19="","",IF(F19=0,"Not applicable",IF(J19&lt;0,"At Risk",IF(J19&lt;='SETUP'!$D$16,"Low","Healthy"))))</x:f>
        <x:v>Healthy</x:v>
      </x:c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26" t="str">
        <x:v>EMP-003</x:v>
      </x:c>
      <x:c r="B20" s="26" t="str">
        <x:v>Sofia Alvarez</x:v>
      </x:c>
      <x:c r="C20" s="26" t="str">
        <x:v>Sales</x:v>
      </x:c>
      <x:c r="D20" s="26" t="str">
        <x:v>Sick Leave</x:v>
      </x:c>
      <x:c r="E20" s="29" t="n">
        <x:v>0</x:v>
      </x:c>
      <x:c r="F20" s="68" t="n">
        <x:f>IF(A20="","",IFERROR(INDEX('SETUP'!$K$11:$K$14,MATCH(D20,'SETUP'!$J$11:$J$14,0))*INDEX('EMPLOYEES'!$G$11:$G$60,MATCH(A20,'EMPLOYEES'!$A$11:$A$60,0)),0))</x:f>
        <x:v>10</x:v>
      </x:c>
      <x:c r="G20" s="68" t="n">
        <x:f>IF(A20="","",SUMIFS('REQUESTS'!$I$11:$I$90,'REQUESTS'!$B$11:$B$90,A20,'REQUESTS'!$E$11:$E$90,D20,'REQUESTS'!$J$11:$J$90,"Approved"))</x:f>
        <x:v>0</x:v>
      </x:c>
      <x:c r="H20" s="68" t="n">
        <x:f>IF(A20="","",SUMIFS('REQUESTS'!$I$11:$I$90,'REQUESTS'!$B$11:$B$90,A20,'REQUESTS'!$E$11:$E$90,D20,'REQUESTS'!$J$11:$J$90,"Pending"))</x:f>
        <x:v>0</x:v>
      </x:c>
      <x:c r="I20" s="68" t="n">
        <x:f>IF(A20="","",E20+F20-G20)</x:f>
        <x:v>10</x:v>
      </x:c>
      <x:c r="J20" s="68" t="n">
        <x:f>IF(A20="","",I20-H20)</x:f>
        <x:v>10</x:v>
      </x:c>
      <x:c r="K20" s="55" t="str">
        <x:f>IF(A20="","",IF(F20=0,"Not applicable",IF(J20&lt;0,"At Risk",IF(J20&lt;='SETUP'!$D$16,"Low","Healthy"))))</x:f>
        <x:v>Healthy</x:v>
      </x:c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26" t="str">
        <x:v>EMP-003</x:v>
      </x:c>
      <x:c r="B21" s="26" t="str">
        <x:v>Sofia Alvarez</x:v>
      </x:c>
      <x:c r="C21" s="26" t="str">
        <x:v>Sales</x:v>
      </x:c>
      <x:c r="D21" s="26" t="str">
        <x:v>Personal Leave</x:v>
      </x:c>
      <x:c r="E21" s="29" t="n">
        <x:v>0</x:v>
      </x:c>
      <x:c r="F21" s="68" t="n">
        <x:f>IF(A21="","",IFERROR(INDEX('SETUP'!$K$11:$K$14,MATCH(D21,'SETUP'!$J$11:$J$14,0))*INDEX('EMPLOYEES'!$G$11:$G$60,MATCH(A21,'EMPLOYEES'!$A$11:$A$60,0)),0))</x:f>
        <x:v>5</x:v>
      </x:c>
      <x:c r="G21" s="68" t="n">
        <x:f>IF(A21="","",SUMIFS('REQUESTS'!$I$11:$I$90,'REQUESTS'!$B$11:$B$90,A21,'REQUESTS'!$E$11:$E$90,D21,'REQUESTS'!$J$11:$J$90,"Approved"))</x:f>
        <x:v>0</x:v>
      </x:c>
      <x:c r="H21" s="68" t="n">
        <x:f>IF(A21="","",SUMIFS('REQUESTS'!$I$11:$I$90,'REQUESTS'!$B$11:$B$90,A21,'REQUESTS'!$E$11:$E$90,D21,'REQUESTS'!$J$11:$J$90,"Pending"))</x:f>
        <x:v>0</x:v>
      </x:c>
      <x:c r="I21" s="68" t="n">
        <x:f>IF(A21="","",E21+F21-G21)</x:f>
        <x:v>5</x:v>
      </x:c>
      <x:c r="J21" s="68" t="n">
        <x:f>IF(A21="","",I21-H21)</x:f>
        <x:v>5</x:v>
      </x:c>
      <x:c r="K21" s="55" t="str">
        <x:f>IF(A21="","",IF(F21=0,"Not applicable",IF(J21&lt;0,"At Risk",IF(J21&lt;='SETUP'!$D$16,"Low","Healthy"))))</x:f>
        <x:v>Healthy</x:v>
      </x:c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26" t="str">
        <x:v>EMP-003</x:v>
      </x:c>
      <x:c r="B22" s="26" t="str">
        <x:v>Sofia Alvarez</x:v>
      </x:c>
      <x:c r="C22" s="26" t="str">
        <x:v>Sales</x:v>
      </x:c>
      <x:c r="D22" s="26" t="str">
        <x:v>Unpaid Leave</x:v>
      </x:c>
      <x:c r="E22" s="29" t="n">
        <x:v>0</x:v>
      </x:c>
      <x:c r="F22" s="68" t="n">
        <x:f>IF(A22="","",IFERROR(INDEX('SETUP'!$K$11:$K$14,MATCH(D22,'SETUP'!$J$11:$J$14,0))*INDEX('EMPLOYEES'!$G$11:$G$60,MATCH(A22,'EMPLOYEES'!$A$11:$A$60,0)),0))</x:f>
        <x:v>0</x:v>
      </x:c>
      <x:c r="G22" s="68" t="n">
        <x:f>IF(A22="","",SUMIFS('REQUESTS'!$I$11:$I$90,'REQUESTS'!$B$11:$B$90,A22,'REQUESTS'!$E$11:$E$90,D22,'REQUESTS'!$J$11:$J$90,"Approved"))</x:f>
        <x:v>0</x:v>
      </x:c>
      <x:c r="H22" s="68" t="n">
        <x:f>IF(A22="","",SUMIFS('REQUESTS'!$I$11:$I$90,'REQUESTS'!$B$11:$B$90,A22,'REQUESTS'!$E$11:$E$90,D22,'REQUESTS'!$J$11:$J$90,"Pending"))</x:f>
        <x:v>0</x:v>
      </x:c>
      <x:c r="I22" s="68" t="n">
        <x:f>IF(A22="","",E22+F22-G22)</x:f>
        <x:v>0</x:v>
      </x:c>
      <x:c r="J22" s="68" t="n">
        <x:f>IF(A22="","",I22-H22)</x:f>
        <x:v>0</x:v>
      </x:c>
      <x:c r="K22" s="55" t="str">
        <x:f>IF(A22="","",IF(F22=0,"Not applicable",IF(J22&lt;0,"At Risk",IF(J22&lt;='SETUP'!$D$16,"Low","Healthy"))))</x:f>
        <x:v>Not applicable</x:v>
      </x:c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26" t="str">
        <x:v>EMP-004</x:v>
      </x:c>
      <x:c r="B23" s="26" t="str">
        <x:v>Daniel Kim</x:v>
      </x:c>
      <x:c r="C23" s="26" t="str">
        <x:v>Sales</x:v>
      </x:c>
      <x:c r="D23" s="26" t="str">
        <x:v>Annual Leave</x:v>
      </x:c>
      <x:c r="E23" s="29" t="n">
        <x:v>0</x:v>
      </x:c>
      <x:c r="F23" s="68" t="n">
        <x:f>IF(A23="","",IFERROR(INDEX('SETUP'!$K$11:$K$14,MATCH(D23,'SETUP'!$J$11:$J$14,0))*INDEX('EMPLOYEES'!$G$11:$G$60,MATCH(A23,'EMPLOYEES'!$A$11:$A$60,0)),0))</x:f>
        <x:v>24</x:v>
      </x:c>
      <x:c r="G23" s="68" t="n">
        <x:f>IF(A23="","",SUMIFS('REQUESTS'!$I$11:$I$90,'REQUESTS'!$B$11:$B$90,A23,'REQUESTS'!$E$11:$E$90,D23,'REQUESTS'!$J$11:$J$90,"Approved"))</x:f>
        <x:v>0</x:v>
      </x:c>
      <x:c r="H23" s="68" t="n">
        <x:f>IF(A23="","",SUMIFS('REQUESTS'!$I$11:$I$90,'REQUESTS'!$B$11:$B$90,A23,'REQUESTS'!$E$11:$E$90,D23,'REQUESTS'!$J$11:$J$90,"Pending"))</x:f>
        <x:v>0</x:v>
      </x:c>
      <x:c r="I23" s="68" t="n">
        <x:f>IF(A23="","",E23+F23-G23)</x:f>
        <x:v>24</x:v>
      </x:c>
      <x:c r="J23" s="68" t="n">
        <x:f>IF(A23="","",I23-H23)</x:f>
        <x:v>24</x:v>
      </x:c>
      <x:c r="K23" s="55" t="str">
        <x:f>IF(A23="","",IF(F23=0,"Not applicable",IF(J23&lt;0,"At Risk",IF(J23&lt;='SETUP'!$D$16,"Low","Healthy"))))</x:f>
        <x:v>Healthy</x:v>
      </x:c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26" t="str">
        <x:v>EMP-004</x:v>
      </x:c>
      <x:c r="B24" s="26" t="str">
        <x:v>Daniel Kim</x:v>
      </x:c>
      <x:c r="C24" s="26" t="str">
        <x:v>Sales</x:v>
      </x:c>
      <x:c r="D24" s="26" t="str">
        <x:v>Sick Leave</x:v>
      </x:c>
      <x:c r="E24" s="29" t="n">
        <x:v>0</x:v>
      </x:c>
      <x:c r="F24" s="68" t="n">
        <x:f>IF(A24="","",IFERROR(INDEX('SETUP'!$K$11:$K$14,MATCH(D24,'SETUP'!$J$11:$J$14,0))*INDEX('EMPLOYEES'!$G$11:$G$60,MATCH(A24,'EMPLOYEES'!$A$11:$A$60,0)),0))</x:f>
        <x:v>10</x:v>
      </x:c>
      <x:c r="G24" s="68" t="n">
        <x:f>IF(A24="","",SUMIFS('REQUESTS'!$I$11:$I$90,'REQUESTS'!$B$11:$B$90,A24,'REQUESTS'!$E$11:$E$90,D24,'REQUESTS'!$J$11:$J$90,"Approved"))</x:f>
        <x:v>0</x:v>
      </x:c>
      <x:c r="H24" s="68" t="n">
        <x:f>IF(A24="","",SUMIFS('REQUESTS'!$I$11:$I$90,'REQUESTS'!$B$11:$B$90,A24,'REQUESTS'!$E$11:$E$90,D24,'REQUESTS'!$J$11:$J$90,"Pending"))</x:f>
        <x:v>0</x:v>
      </x:c>
      <x:c r="I24" s="68" t="n">
        <x:f>IF(A24="","",E24+F24-G24)</x:f>
        <x:v>10</x:v>
      </x:c>
      <x:c r="J24" s="68" t="n">
        <x:f>IF(A24="","",I24-H24)</x:f>
        <x:v>10</x:v>
      </x:c>
      <x:c r="K24" s="55" t="str">
        <x:f>IF(A24="","",IF(F24=0,"Not applicable",IF(J24&lt;0,"At Risk",IF(J24&lt;='SETUP'!$D$16,"Low","Healthy"))))</x:f>
        <x:v>Healthy</x:v>
      </x:c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26" t="str">
        <x:v>EMP-004</x:v>
      </x:c>
      <x:c r="B25" s="26" t="str">
        <x:v>Daniel Kim</x:v>
      </x:c>
      <x:c r="C25" s="26" t="str">
        <x:v>Sales</x:v>
      </x:c>
      <x:c r="D25" s="26" t="str">
        <x:v>Personal Leave</x:v>
      </x:c>
      <x:c r="E25" s="29" t="n">
        <x:v>0</x:v>
      </x:c>
      <x:c r="F25" s="68" t="n">
        <x:f>IF(A25="","",IFERROR(INDEX('SETUP'!$K$11:$K$14,MATCH(D25,'SETUP'!$J$11:$J$14,0))*INDEX('EMPLOYEES'!$G$11:$G$60,MATCH(A25,'EMPLOYEES'!$A$11:$A$60,0)),0))</x:f>
        <x:v>5</x:v>
      </x:c>
      <x:c r="G25" s="68" t="n">
        <x:f>IF(A25="","",SUMIFS('REQUESTS'!$I$11:$I$90,'REQUESTS'!$B$11:$B$90,A25,'REQUESTS'!$E$11:$E$90,D25,'REQUESTS'!$J$11:$J$90,"Approved"))</x:f>
        <x:v>1</x:v>
      </x:c>
      <x:c r="H25" s="68" t="n">
        <x:f>IF(A25="","",SUMIFS('REQUESTS'!$I$11:$I$90,'REQUESTS'!$B$11:$B$90,A25,'REQUESTS'!$E$11:$E$90,D25,'REQUESTS'!$J$11:$J$90,"Pending"))</x:f>
        <x:v>0</x:v>
      </x:c>
      <x:c r="I25" s="68" t="n">
        <x:f>IF(A25="","",E25+F25-G25)</x:f>
        <x:v>4</x:v>
      </x:c>
      <x:c r="J25" s="68" t="n">
        <x:f>IF(A25="","",I25-H25)</x:f>
        <x:v>4</x:v>
      </x:c>
      <x:c r="K25" s="55" t="str">
        <x:f>IF(A25="","",IF(F25=0,"Not applicable",IF(J25&lt;0,"At Risk",IF(J25&lt;='SETUP'!$D$16,"Low","Healthy"))))</x:f>
        <x:v>Healthy</x:v>
      </x:c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26" t="str">
        <x:v>EMP-004</x:v>
      </x:c>
      <x:c r="B26" s="26" t="str">
        <x:v>Daniel Kim</x:v>
      </x:c>
      <x:c r="C26" s="26" t="str">
        <x:v>Sales</x:v>
      </x:c>
      <x:c r="D26" s="26" t="str">
        <x:v>Unpaid Leave</x:v>
      </x:c>
      <x:c r="E26" s="29" t="n">
        <x:v>0</x:v>
      </x:c>
      <x:c r="F26" s="68" t="n">
        <x:f>IF(A26="","",IFERROR(INDEX('SETUP'!$K$11:$K$14,MATCH(D26,'SETUP'!$J$11:$J$14,0))*INDEX('EMPLOYEES'!$G$11:$G$60,MATCH(A26,'EMPLOYEES'!$A$11:$A$60,0)),0))</x:f>
        <x:v>0</x:v>
      </x:c>
      <x:c r="G26" s="68" t="n">
        <x:f>IF(A26="","",SUMIFS('REQUESTS'!$I$11:$I$90,'REQUESTS'!$B$11:$B$90,A26,'REQUESTS'!$E$11:$E$90,D26,'REQUESTS'!$J$11:$J$90,"Approved"))</x:f>
        <x:v>0</x:v>
      </x:c>
      <x:c r="H26" s="68" t="n">
        <x:f>IF(A26="","",SUMIFS('REQUESTS'!$I$11:$I$90,'REQUESTS'!$B$11:$B$90,A26,'REQUESTS'!$E$11:$E$90,D26,'REQUESTS'!$J$11:$J$90,"Pending"))</x:f>
        <x:v>0</x:v>
      </x:c>
      <x:c r="I26" s="68" t="n">
        <x:f>IF(A26="","",E26+F26-G26)</x:f>
        <x:v>0</x:v>
      </x:c>
      <x:c r="J26" s="68" t="n">
        <x:f>IF(A26="","",I26-H26)</x:f>
        <x:v>0</x:v>
      </x:c>
      <x:c r="K26" s="55" t="str">
        <x:f>IF(A26="","",IF(F26=0,"Not applicable",IF(J26&lt;0,"At Risk",IF(J26&lt;='SETUP'!$D$16,"Low","Healthy"))))</x:f>
        <x:v>Not applicable</x:v>
      </x:c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26" t="str">
        <x:v>EMP-005</x:v>
      </x:c>
      <x:c r="B27" s="26" t="str">
        <x:v>Noor Rahman</x:v>
      </x:c>
      <x:c r="C27" s="26" t="str">
        <x:v>Finance</x:v>
      </x:c>
      <x:c r="D27" s="26" t="str">
        <x:v>Annual Leave</x:v>
      </x:c>
      <x:c r="E27" s="29" t="n">
        <x:v>0</x:v>
      </x:c>
      <x:c r="F27" s="68" t="n">
        <x:f>IF(A27="","",IFERROR(INDEX('SETUP'!$K$11:$K$14,MATCH(D27,'SETUP'!$J$11:$J$14,0))*INDEX('EMPLOYEES'!$G$11:$G$60,MATCH(A27,'EMPLOYEES'!$A$11:$A$60,0)),0))</x:f>
        <x:v>24</x:v>
      </x:c>
      <x:c r="G27" s="68" t="n">
        <x:f>IF(A27="","",SUMIFS('REQUESTS'!$I$11:$I$90,'REQUESTS'!$B$11:$B$90,A27,'REQUESTS'!$E$11:$E$90,D27,'REQUESTS'!$J$11:$J$90,"Approved"))</x:f>
        <x:v>5</x:v>
      </x:c>
      <x:c r="H27" s="68" t="n">
        <x:f>IF(A27="","",SUMIFS('REQUESTS'!$I$11:$I$90,'REQUESTS'!$B$11:$B$90,A27,'REQUESTS'!$E$11:$E$90,D27,'REQUESTS'!$J$11:$J$90,"Pending"))</x:f>
        <x:v>0</x:v>
      </x:c>
      <x:c r="I27" s="68" t="n">
        <x:f>IF(A27="","",E27+F27-G27)</x:f>
        <x:v>19</x:v>
      </x:c>
      <x:c r="J27" s="68" t="n">
        <x:f>IF(A27="","",I27-H27)</x:f>
        <x:v>19</x:v>
      </x:c>
      <x:c r="K27" s="55" t="str">
        <x:f>IF(A27="","",IF(F27=0,"Not applicable",IF(J27&lt;0,"At Risk",IF(J27&lt;='SETUP'!$D$16,"Low","Healthy"))))</x:f>
        <x:v>Healthy</x:v>
      </x:c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26" t="str">
        <x:v>EMP-005</x:v>
      </x:c>
      <x:c r="B28" s="26" t="str">
        <x:v>Noor Rahman</x:v>
      </x:c>
      <x:c r="C28" s="26" t="str">
        <x:v>Finance</x:v>
      </x:c>
      <x:c r="D28" s="26" t="str">
        <x:v>Sick Leave</x:v>
      </x:c>
      <x:c r="E28" s="29" t="n">
        <x:v>0</x:v>
      </x:c>
      <x:c r="F28" s="68" t="n">
        <x:f>IF(A28="","",IFERROR(INDEX('SETUP'!$K$11:$K$14,MATCH(D28,'SETUP'!$J$11:$J$14,0))*INDEX('EMPLOYEES'!$G$11:$G$60,MATCH(A28,'EMPLOYEES'!$A$11:$A$60,0)),0))</x:f>
        <x:v>10</x:v>
      </x:c>
      <x:c r="G28" s="68" t="n">
        <x:f>IF(A28="","",SUMIFS('REQUESTS'!$I$11:$I$90,'REQUESTS'!$B$11:$B$90,A28,'REQUESTS'!$E$11:$E$90,D28,'REQUESTS'!$J$11:$J$90,"Approved"))</x:f>
        <x:v>0</x:v>
      </x:c>
      <x:c r="H28" s="68" t="n">
        <x:f>IF(A28="","",SUMIFS('REQUESTS'!$I$11:$I$90,'REQUESTS'!$B$11:$B$90,A28,'REQUESTS'!$E$11:$E$90,D28,'REQUESTS'!$J$11:$J$90,"Pending"))</x:f>
        <x:v>0</x:v>
      </x:c>
      <x:c r="I28" s="68" t="n">
        <x:f>IF(A28="","",E28+F28-G28)</x:f>
        <x:v>10</x:v>
      </x:c>
      <x:c r="J28" s="68" t="n">
        <x:f>IF(A28="","",I28-H28)</x:f>
        <x:v>10</x:v>
      </x:c>
      <x:c r="K28" s="55" t="str">
        <x:f>IF(A28="","",IF(F28=0,"Not applicable",IF(J28&lt;0,"At Risk",IF(J28&lt;='SETUP'!$D$16,"Low","Healthy"))))</x:f>
        <x:v>Healthy</x:v>
      </x:c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26" t="str">
        <x:v>EMP-005</x:v>
      </x:c>
      <x:c r="B29" s="26" t="str">
        <x:v>Noor Rahman</x:v>
      </x:c>
      <x:c r="C29" s="26" t="str">
        <x:v>Finance</x:v>
      </x:c>
      <x:c r="D29" s="26" t="str">
        <x:v>Personal Leave</x:v>
      </x:c>
      <x:c r="E29" s="29" t="n">
        <x:v>0</x:v>
      </x:c>
      <x:c r="F29" s="68" t="n">
        <x:f>IF(A29="","",IFERROR(INDEX('SETUP'!$K$11:$K$14,MATCH(D29,'SETUP'!$J$11:$J$14,0))*INDEX('EMPLOYEES'!$G$11:$G$60,MATCH(A29,'EMPLOYEES'!$A$11:$A$60,0)),0))</x:f>
        <x:v>5</x:v>
      </x:c>
      <x:c r="G29" s="68" t="n">
        <x:f>IF(A29="","",SUMIFS('REQUESTS'!$I$11:$I$90,'REQUESTS'!$B$11:$B$90,A29,'REQUESTS'!$E$11:$E$90,D29,'REQUESTS'!$J$11:$J$90,"Approved"))</x:f>
        <x:v>0</x:v>
      </x:c>
      <x:c r="H29" s="68" t="n">
        <x:f>IF(A29="","",SUMIFS('REQUESTS'!$I$11:$I$90,'REQUESTS'!$B$11:$B$90,A29,'REQUESTS'!$E$11:$E$90,D29,'REQUESTS'!$J$11:$J$90,"Pending"))</x:f>
        <x:v>0</x:v>
      </x:c>
      <x:c r="I29" s="68" t="n">
        <x:f>IF(A29="","",E29+F29-G29)</x:f>
        <x:v>5</x:v>
      </x:c>
      <x:c r="J29" s="68" t="n">
        <x:f>IF(A29="","",I29-H29)</x:f>
        <x:v>5</x:v>
      </x:c>
      <x:c r="K29" s="55" t="str">
        <x:f>IF(A29="","",IF(F29=0,"Not applicable",IF(J29&lt;0,"At Risk",IF(J29&lt;='SETUP'!$D$16,"Low","Healthy"))))</x:f>
        <x:v>Healthy</x:v>
      </x:c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26" t="str">
        <x:v>EMP-005</x:v>
      </x:c>
      <x:c r="B30" s="26" t="str">
        <x:v>Noor Rahman</x:v>
      </x:c>
      <x:c r="C30" s="26" t="str">
        <x:v>Finance</x:v>
      </x:c>
      <x:c r="D30" s="26" t="str">
        <x:v>Unpaid Leave</x:v>
      </x:c>
      <x:c r="E30" s="29" t="n">
        <x:v>0</x:v>
      </x:c>
      <x:c r="F30" s="68" t="n">
        <x:f>IF(A30="","",IFERROR(INDEX('SETUP'!$K$11:$K$14,MATCH(D30,'SETUP'!$J$11:$J$14,0))*INDEX('EMPLOYEES'!$G$11:$G$60,MATCH(A30,'EMPLOYEES'!$A$11:$A$60,0)),0))</x:f>
        <x:v>0</x:v>
      </x:c>
      <x:c r="G30" s="68" t="n">
        <x:f>IF(A30="","",SUMIFS('REQUESTS'!$I$11:$I$90,'REQUESTS'!$B$11:$B$90,A30,'REQUESTS'!$E$11:$E$90,D30,'REQUESTS'!$J$11:$J$90,"Approved"))</x:f>
        <x:v>0</x:v>
      </x:c>
      <x:c r="H30" s="68" t="n">
        <x:f>IF(A30="","",SUMIFS('REQUESTS'!$I$11:$I$90,'REQUESTS'!$B$11:$B$90,A30,'REQUESTS'!$E$11:$E$90,D30,'REQUESTS'!$J$11:$J$90,"Pending"))</x:f>
        <x:v>0</x:v>
      </x:c>
      <x:c r="I30" s="68" t="n">
        <x:f>IF(A30="","",E30+F30-G30)</x:f>
        <x:v>0</x:v>
      </x:c>
      <x:c r="J30" s="68" t="n">
        <x:f>IF(A30="","",I30-H30)</x:f>
        <x:v>0</x:v>
      </x:c>
      <x:c r="K30" s="55" t="str">
        <x:f>IF(A30="","",IF(F30=0,"Not applicable",IF(J30&lt;0,"At Risk",IF(J30&lt;='SETUP'!$D$16,"Low","Healthy"))))</x:f>
        <x:v>Not applicable</x:v>
      </x:c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26" t="str">
        <x:v>EMP-006</x:v>
      </x:c>
      <x:c r="B31" s="26" t="str">
        <x:v>Lucia Torres</x:v>
      </x:c>
      <x:c r="C31" s="26" t="str">
        <x:v>Marketing</x:v>
      </x:c>
      <x:c r="D31" s="26" t="str">
        <x:v>Annual Leave</x:v>
      </x:c>
      <x:c r="E31" s="29" t="n">
        <x:v>0</x:v>
      </x:c>
      <x:c r="F31" s="68" t="n">
        <x:f>IF(A31="","",IFERROR(INDEX('SETUP'!$K$11:$K$14,MATCH(D31,'SETUP'!$J$11:$J$14,0))*INDEX('EMPLOYEES'!$G$11:$G$60,MATCH(A31,'EMPLOYEES'!$A$11:$A$60,0)),0))</x:f>
        <x:v>19.200000000000003</x:v>
      </x:c>
      <x:c r="G31" s="68" t="n">
        <x:f>IF(A31="","",SUMIFS('REQUESTS'!$I$11:$I$90,'REQUESTS'!$B$11:$B$90,A31,'REQUESTS'!$E$11:$E$90,D31,'REQUESTS'!$J$11:$J$90,"Approved"))</x:f>
        <x:v>0</x:v>
      </x:c>
      <x:c r="H31" s="68" t="n">
        <x:f>IF(A31="","",SUMIFS('REQUESTS'!$I$11:$I$90,'REQUESTS'!$B$11:$B$90,A31,'REQUESTS'!$E$11:$E$90,D31,'REQUESTS'!$J$11:$J$90,"Pending"))</x:f>
        <x:v>0</x:v>
      </x:c>
      <x:c r="I31" s="68" t="n">
        <x:f>IF(A31="","",E31+F31-G31)</x:f>
        <x:v>19.200000000000003</x:v>
      </x:c>
      <x:c r="J31" s="68" t="n">
        <x:f>IF(A31="","",I31-H31)</x:f>
        <x:v>19.200000000000003</x:v>
      </x:c>
      <x:c r="K31" s="55" t="str">
        <x:f>IF(A31="","",IF(F31=0,"Not applicable",IF(J31&lt;0,"At Risk",IF(J31&lt;='SETUP'!$D$16,"Low","Healthy"))))</x:f>
        <x:v>Healthy</x:v>
      </x:c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26" t="str">
        <x:v>EMP-006</x:v>
      </x:c>
      <x:c r="B32" s="26" t="str">
        <x:v>Lucia Torres</x:v>
      </x:c>
      <x:c r="C32" s="26" t="str">
        <x:v>Marketing</x:v>
      </x:c>
      <x:c r="D32" s="26" t="str">
        <x:v>Sick Leave</x:v>
      </x:c>
      <x:c r="E32" s="29" t="n">
        <x:v>0</x:v>
      </x:c>
      <x:c r="F32" s="68" t="n">
        <x:f>IF(A32="","",IFERROR(INDEX('SETUP'!$K$11:$K$14,MATCH(D32,'SETUP'!$J$11:$J$14,0))*INDEX('EMPLOYEES'!$G$11:$G$60,MATCH(A32,'EMPLOYEES'!$A$11:$A$60,0)),0))</x:f>
        <x:v>8</x:v>
      </x:c>
      <x:c r="G32" s="68" t="n">
        <x:f>IF(A32="","",SUMIFS('REQUESTS'!$I$11:$I$90,'REQUESTS'!$B$11:$B$90,A32,'REQUESTS'!$E$11:$E$90,D32,'REQUESTS'!$J$11:$J$90,"Approved"))</x:f>
        <x:v>2</x:v>
      </x:c>
      <x:c r="H32" s="68" t="n">
        <x:f>IF(A32="","",SUMIFS('REQUESTS'!$I$11:$I$90,'REQUESTS'!$B$11:$B$90,A32,'REQUESTS'!$E$11:$E$90,D32,'REQUESTS'!$J$11:$J$90,"Pending"))</x:f>
        <x:v>0</x:v>
      </x:c>
      <x:c r="I32" s="68" t="n">
        <x:f>IF(A32="","",E32+F32-G32)</x:f>
        <x:v>6</x:v>
      </x:c>
      <x:c r="J32" s="68" t="n">
        <x:f>IF(A32="","",I32-H32)</x:f>
        <x:v>6</x:v>
      </x:c>
      <x:c r="K32" s="55" t="str">
        <x:f>IF(A32="","",IF(F32=0,"Not applicable",IF(J32&lt;0,"At Risk",IF(J32&lt;='SETUP'!$D$16,"Low","Healthy"))))</x:f>
        <x:v>Healthy</x:v>
      </x:c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26" t="str">
        <x:v>EMP-006</x:v>
      </x:c>
      <x:c r="B33" s="26" t="str">
        <x:v>Lucia Torres</x:v>
      </x:c>
      <x:c r="C33" s="26" t="str">
        <x:v>Marketing</x:v>
      </x:c>
      <x:c r="D33" s="26" t="str">
        <x:v>Personal Leave</x:v>
      </x:c>
      <x:c r="E33" s="29" t="n">
        <x:v>0</x:v>
      </x:c>
      <x:c r="F33" s="68" t="n">
        <x:f>IF(A33="","",IFERROR(INDEX('SETUP'!$K$11:$K$14,MATCH(D33,'SETUP'!$J$11:$J$14,0))*INDEX('EMPLOYEES'!$G$11:$G$60,MATCH(A33,'EMPLOYEES'!$A$11:$A$60,0)),0))</x:f>
        <x:v>4</x:v>
      </x:c>
      <x:c r="G33" s="68" t="n">
        <x:f>IF(A33="","",SUMIFS('REQUESTS'!$I$11:$I$90,'REQUESTS'!$B$11:$B$90,A33,'REQUESTS'!$E$11:$E$90,D33,'REQUESTS'!$J$11:$J$90,"Approved"))</x:f>
        <x:v>0</x:v>
      </x:c>
      <x:c r="H33" s="68" t="n">
        <x:f>IF(A33="","",SUMIFS('REQUESTS'!$I$11:$I$90,'REQUESTS'!$B$11:$B$90,A33,'REQUESTS'!$E$11:$E$90,D33,'REQUESTS'!$J$11:$J$90,"Pending"))</x:f>
        <x:v>0.5</x:v>
      </x:c>
      <x:c r="I33" s="68" t="n">
        <x:f>IF(A33="","",E33+F33-G33)</x:f>
        <x:v>4</x:v>
      </x:c>
      <x:c r="J33" s="68" t="n">
        <x:f>IF(A33="","",I33-H33)</x:f>
        <x:v>3.5</x:v>
      </x:c>
      <x:c r="K33" s="55" t="str">
        <x:f>IF(A33="","",IF(F33=0,"Not applicable",IF(J33&lt;0,"At Risk",IF(J33&lt;='SETUP'!$D$16,"Low","Healthy"))))</x:f>
        <x:v>Healthy</x:v>
      </x:c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26" t="str">
        <x:v>EMP-006</x:v>
      </x:c>
      <x:c r="B34" s="26" t="str">
        <x:v>Lucia Torres</x:v>
      </x:c>
      <x:c r="C34" s="26" t="str">
        <x:v>Marketing</x:v>
      </x:c>
      <x:c r="D34" s="26" t="str">
        <x:v>Unpaid Leave</x:v>
      </x:c>
      <x:c r="E34" s="29" t="n">
        <x:v>0</x:v>
      </x:c>
      <x:c r="F34" s="68" t="n">
        <x:f>IF(A34="","",IFERROR(INDEX('SETUP'!$K$11:$K$14,MATCH(D34,'SETUP'!$J$11:$J$14,0))*INDEX('EMPLOYEES'!$G$11:$G$60,MATCH(A34,'EMPLOYEES'!$A$11:$A$60,0)),0))</x:f>
        <x:v>0</x:v>
      </x:c>
      <x:c r="G34" s="68" t="n">
        <x:f>IF(A34="","",SUMIFS('REQUESTS'!$I$11:$I$90,'REQUESTS'!$B$11:$B$90,A34,'REQUESTS'!$E$11:$E$90,D34,'REQUESTS'!$J$11:$J$90,"Approved"))</x:f>
        <x:v>0</x:v>
      </x:c>
      <x:c r="H34" s="68" t="n">
        <x:f>IF(A34="","",SUMIFS('REQUESTS'!$I$11:$I$90,'REQUESTS'!$B$11:$B$90,A34,'REQUESTS'!$E$11:$E$90,D34,'REQUESTS'!$J$11:$J$90,"Pending"))</x:f>
        <x:v>0</x:v>
      </x:c>
      <x:c r="I34" s="68" t="n">
        <x:f>IF(A34="","",E34+F34-G34)</x:f>
        <x:v>0</x:v>
      </x:c>
      <x:c r="J34" s="68" t="n">
        <x:f>IF(A34="","",I34-H34)</x:f>
        <x:v>0</x:v>
      </x:c>
      <x:c r="K34" s="55" t="str">
        <x:f>IF(A34="","",IF(F34=0,"Not applicable",IF(J34&lt;0,"At Risk",IF(J34&lt;='SETUP'!$D$16,"Low","Healthy"))))</x:f>
        <x:v>Not applicable</x:v>
      </x:c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26" t="str">
        <x:v>EMP-007</x:v>
      </x:c>
      <x:c r="B35" s="26" t="str">
        <x:v>Yusuf Karim</x:v>
      </x:c>
      <x:c r="C35" s="26" t="str">
        <x:v>Client Success</x:v>
      </x:c>
      <x:c r="D35" s="26" t="str">
        <x:v>Annual Leave</x:v>
      </x:c>
      <x:c r="E35" s="29" t="n">
        <x:v>0</x:v>
      </x:c>
      <x:c r="F35" s="68" t="n">
        <x:f>IF(A35="","",IFERROR(INDEX('SETUP'!$K$11:$K$14,MATCH(D35,'SETUP'!$J$11:$J$14,0))*INDEX('EMPLOYEES'!$G$11:$G$60,MATCH(A35,'EMPLOYEES'!$A$11:$A$60,0)),0))</x:f>
        <x:v>24</x:v>
      </x:c>
      <x:c r="G35" s="68" t="n">
        <x:f>IF(A35="","",SUMIFS('REQUESTS'!$I$11:$I$90,'REQUESTS'!$B$11:$B$90,A35,'REQUESTS'!$E$11:$E$90,D35,'REQUESTS'!$J$11:$J$90,"Approved"))</x:f>
        <x:v>5</x:v>
      </x:c>
      <x:c r="H35" s="68" t="n">
        <x:f>IF(A35="","",SUMIFS('REQUESTS'!$I$11:$I$90,'REQUESTS'!$B$11:$B$90,A35,'REQUESTS'!$E$11:$E$90,D35,'REQUESTS'!$J$11:$J$90,"Pending"))</x:f>
        <x:v>0</x:v>
      </x:c>
      <x:c r="I35" s="68" t="n">
        <x:f>IF(A35="","",E35+F35-G35)</x:f>
        <x:v>19</x:v>
      </x:c>
      <x:c r="J35" s="68" t="n">
        <x:f>IF(A35="","",I35-H35)</x:f>
        <x:v>19</x:v>
      </x:c>
      <x:c r="K35" s="55" t="str">
        <x:f>IF(A35="","",IF(F35=0,"Not applicable",IF(J35&lt;0,"At Risk",IF(J35&lt;='SETUP'!$D$16,"Low","Healthy"))))</x:f>
        <x:v>Healthy</x:v>
      </x:c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26" t="str">
        <x:v>EMP-007</x:v>
      </x:c>
      <x:c r="B36" s="26" t="str">
        <x:v>Yusuf Karim</x:v>
      </x:c>
      <x:c r="C36" s="26" t="str">
        <x:v>Client Success</x:v>
      </x:c>
      <x:c r="D36" s="26" t="str">
        <x:v>Sick Leave</x:v>
      </x:c>
      <x:c r="E36" s="29" t="n">
        <x:v>0</x:v>
      </x:c>
      <x:c r="F36" s="68" t="n">
        <x:f>IF(A36="","",IFERROR(INDEX('SETUP'!$K$11:$K$14,MATCH(D36,'SETUP'!$J$11:$J$14,0))*INDEX('EMPLOYEES'!$G$11:$G$60,MATCH(A36,'EMPLOYEES'!$A$11:$A$60,0)),0))</x:f>
        <x:v>10</x:v>
      </x:c>
      <x:c r="G36" s="68" t="n">
        <x:f>IF(A36="","",SUMIFS('REQUESTS'!$I$11:$I$90,'REQUESTS'!$B$11:$B$90,A36,'REQUESTS'!$E$11:$E$90,D36,'REQUESTS'!$J$11:$J$90,"Approved"))</x:f>
        <x:v>0</x:v>
      </x:c>
      <x:c r="H36" s="68" t="n">
        <x:f>IF(A36="","",SUMIFS('REQUESTS'!$I$11:$I$90,'REQUESTS'!$B$11:$B$90,A36,'REQUESTS'!$E$11:$E$90,D36,'REQUESTS'!$J$11:$J$90,"Pending"))</x:f>
        <x:v>0</x:v>
      </x:c>
      <x:c r="I36" s="68" t="n">
        <x:f>IF(A36="","",E36+F36-G36)</x:f>
        <x:v>10</x:v>
      </x:c>
      <x:c r="J36" s="68" t="n">
        <x:f>IF(A36="","",I36-H36)</x:f>
        <x:v>10</x:v>
      </x:c>
      <x:c r="K36" s="55" t="str">
        <x:f>IF(A36="","",IF(F36=0,"Not applicable",IF(J36&lt;0,"At Risk",IF(J36&lt;='SETUP'!$D$16,"Low","Healthy"))))</x:f>
        <x:v>Healthy</x:v>
      </x:c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26" t="str">
        <x:v>EMP-007</x:v>
      </x:c>
      <x:c r="B37" s="26" t="str">
        <x:v>Yusuf Karim</x:v>
      </x:c>
      <x:c r="C37" s="26" t="str">
        <x:v>Client Success</x:v>
      </x:c>
      <x:c r="D37" s="26" t="str">
        <x:v>Personal Leave</x:v>
      </x:c>
      <x:c r="E37" s="29" t="n">
        <x:v>0</x:v>
      </x:c>
      <x:c r="F37" s="68" t="n">
        <x:f>IF(A37="","",IFERROR(INDEX('SETUP'!$K$11:$K$14,MATCH(D37,'SETUP'!$J$11:$J$14,0))*INDEX('EMPLOYEES'!$G$11:$G$60,MATCH(A37,'EMPLOYEES'!$A$11:$A$60,0)),0))</x:f>
        <x:v>5</x:v>
      </x:c>
      <x:c r="G37" s="68" t="n">
        <x:f>IF(A37="","",SUMIFS('REQUESTS'!$I$11:$I$90,'REQUESTS'!$B$11:$B$90,A37,'REQUESTS'!$E$11:$E$90,D37,'REQUESTS'!$J$11:$J$90,"Approved"))</x:f>
        <x:v>0</x:v>
      </x:c>
      <x:c r="H37" s="68" t="n">
        <x:f>IF(A37="","",SUMIFS('REQUESTS'!$I$11:$I$90,'REQUESTS'!$B$11:$B$90,A37,'REQUESTS'!$E$11:$E$90,D37,'REQUESTS'!$J$11:$J$90,"Pending"))</x:f>
        <x:v>0</x:v>
      </x:c>
      <x:c r="I37" s="68" t="n">
        <x:f>IF(A37="","",E37+F37-G37)</x:f>
        <x:v>5</x:v>
      </x:c>
      <x:c r="J37" s="68" t="n">
        <x:f>IF(A37="","",I37-H37)</x:f>
        <x:v>5</x:v>
      </x:c>
      <x:c r="K37" s="55" t="str">
        <x:f>IF(A37="","",IF(F37=0,"Not applicable",IF(J37&lt;0,"At Risk",IF(J37&lt;='SETUP'!$D$16,"Low","Healthy"))))</x:f>
        <x:v>Healthy</x:v>
      </x:c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26" t="str">
        <x:v>EMP-007</x:v>
      </x:c>
      <x:c r="B38" s="26" t="str">
        <x:v>Yusuf Karim</x:v>
      </x:c>
      <x:c r="C38" s="26" t="str">
        <x:v>Client Success</x:v>
      </x:c>
      <x:c r="D38" s="26" t="str">
        <x:v>Unpaid Leave</x:v>
      </x:c>
      <x:c r="E38" s="29" t="n">
        <x:v>0</x:v>
      </x:c>
      <x:c r="F38" s="68" t="n">
        <x:f>IF(A38="","",IFERROR(INDEX('SETUP'!$K$11:$K$14,MATCH(D38,'SETUP'!$J$11:$J$14,0))*INDEX('EMPLOYEES'!$G$11:$G$60,MATCH(A38,'EMPLOYEES'!$A$11:$A$60,0)),0))</x:f>
        <x:v>0</x:v>
      </x:c>
      <x:c r="G38" s="68" t="n">
        <x:f>IF(A38="","",SUMIFS('REQUESTS'!$I$11:$I$90,'REQUESTS'!$B$11:$B$90,A38,'REQUESTS'!$E$11:$E$90,D38,'REQUESTS'!$J$11:$J$90,"Approved"))</x:f>
        <x:v>0</x:v>
      </x:c>
      <x:c r="H38" s="68" t="n">
        <x:f>IF(A38="","",SUMIFS('REQUESTS'!$I$11:$I$90,'REQUESTS'!$B$11:$B$90,A38,'REQUESTS'!$E$11:$E$90,D38,'REQUESTS'!$J$11:$J$90,"Pending"))</x:f>
        <x:v>0</x:v>
      </x:c>
      <x:c r="I38" s="68" t="n">
        <x:f>IF(A38="","",E38+F38-G38)</x:f>
        <x:v>0</x:v>
      </x:c>
      <x:c r="J38" s="68" t="n">
        <x:f>IF(A38="","",I38-H38)</x:f>
        <x:v>0</x:v>
      </x:c>
      <x:c r="K38" s="55" t="str">
        <x:f>IF(A38="","",IF(F38=0,"Not applicable",IF(J38&lt;0,"At Risk",IF(J38&lt;='SETUP'!$D$16,"Low","Healthy"))))</x:f>
        <x:v>Not applicable</x:v>
      </x:c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26" t="str">
        <x:v>EMP-008</x:v>
      </x:c>
      <x:c r="B39" s="26" t="str">
        <x:v>Amelia Stone</x:v>
      </x:c>
      <x:c r="C39" s="26" t="str">
        <x:v>Client Success</x:v>
      </x:c>
      <x:c r="D39" s="26" t="str">
        <x:v>Annual Leave</x:v>
      </x:c>
      <x:c r="E39" s="29" t="n">
        <x:v>0</x:v>
      </x:c>
      <x:c r="F39" s="68" t="n">
        <x:f>IF(A39="","",IFERROR(INDEX('SETUP'!$K$11:$K$14,MATCH(D39,'SETUP'!$J$11:$J$14,0))*INDEX('EMPLOYEES'!$G$11:$G$60,MATCH(A39,'EMPLOYEES'!$A$11:$A$60,0)),0))</x:f>
        <x:v>24</x:v>
      </x:c>
      <x:c r="G39" s="68" t="n">
        <x:f>IF(A39="","",SUMIFS('REQUESTS'!$I$11:$I$90,'REQUESTS'!$B$11:$B$90,A39,'REQUESTS'!$E$11:$E$90,D39,'REQUESTS'!$J$11:$J$90,"Approved"))</x:f>
        <x:v>0</x:v>
      </x:c>
      <x:c r="H39" s="68" t="n">
        <x:f>IF(A39="","",SUMIFS('REQUESTS'!$I$11:$I$90,'REQUESTS'!$B$11:$B$90,A39,'REQUESTS'!$E$11:$E$90,D39,'REQUESTS'!$J$11:$J$90,"Pending"))</x:f>
        <x:v>0</x:v>
      </x:c>
      <x:c r="I39" s="68" t="n">
        <x:f>IF(A39="","",E39+F39-G39)</x:f>
        <x:v>24</x:v>
      </x:c>
      <x:c r="J39" s="68" t="n">
        <x:f>IF(A39="","",I39-H39)</x:f>
        <x:v>24</x:v>
      </x:c>
      <x:c r="K39" s="55" t="str">
        <x:f>IF(A39="","",IF(F39=0,"Not applicable",IF(J39&lt;0,"At Risk",IF(J39&lt;='SETUP'!$D$16,"Low","Healthy"))))</x:f>
        <x:v>Healthy</x:v>
      </x:c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26" t="str">
        <x:v>EMP-008</x:v>
      </x:c>
      <x:c r="B40" s="26" t="str">
        <x:v>Amelia Stone</x:v>
      </x:c>
      <x:c r="C40" s="26" t="str">
        <x:v>Client Success</x:v>
      </x:c>
      <x:c r="D40" s="26" t="str">
        <x:v>Sick Leave</x:v>
      </x:c>
      <x:c r="E40" s="29" t="n">
        <x:v>0</x:v>
      </x:c>
      <x:c r="F40" s="68" t="n">
        <x:f>IF(A40="","",IFERROR(INDEX('SETUP'!$K$11:$K$14,MATCH(D40,'SETUP'!$J$11:$J$14,0))*INDEX('EMPLOYEES'!$G$11:$G$60,MATCH(A40,'EMPLOYEES'!$A$11:$A$60,0)),0))</x:f>
        <x:v>10</x:v>
      </x:c>
      <x:c r="G40" s="68" t="n">
        <x:f>IF(A40="","",SUMIFS('REQUESTS'!$I$11:$I$90,'REQUESTS'!$B$11:$B$90,A40,'REQUESTS'!$E$11:$E$90,D40,'REQUESTS'!$J$11:$J$90,"Approved"))</x:f>
        <x:v>0</x:v>
      </x:c>
      <x:c r="H40" s="68" t="n">
        <x:f>IF(A40="","",SUMIFS('REQUESTS'!$I$11:$I$90,'REQUESTS'!$B$11:$B$90,A40,'REQUESTS'!$E$11:$E$90,D40,'REQUESTS'!$J$11:$J$90,"Pending"))</x:f>
        <x:v>0</x:v>
      </x:c>
      <x:c r="I40" s="68" t="n">
        <x:f>IF(A40="","",E40+F40-G40)</x:f>
        <x:v>10</x:v>
      </x:c>
      <x:c r="J40" s="68" t="n">
        <x:f>IF(A40="","",I40-H40)</x:f>
        <x:v>10</x:v>
      </x:c>
      <x:c r="K40" s="55" t="str">
        <x:f>IF(A40="","",IF(F40=0,"Not applicable",IF(J40&lt;0,"At Risk",IF(J40&lt;='SETUP'!$D$16,"Low","Healthy"))))</x:f>
        <x:v>Healthy</x:v>
      </x:c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26" t="str">
        <x:v>EMP-008</x:v>
      </x:c>
      <x:c r="B41" s="26" t="str">
        <x:v>Amelia Stone</x:v>
      </x:c>
      <x:c r="C41" s="26" t="str">
        <x:v>Client Success</x:v>
      </x:c>
      <x:c r="D41" s="26" t="str">
        <x:v>Personal Leave</x:v>
      </x:c>
      <x:c r="E41" s="29" t="n">
        <x:v>0</x:v>
      </x:c>
      <x:c r="F41" s="68" t="n">
        <x:f>IF(A41="","",IFERROR(INDEX('SETUP'!$K$11:$K$14,MATCH(D41,'SETUP'!$J$11:$J$14,0))*INDEX('EMPLOYEES'!$G$11:$G$60,MATCH(A41,'EMPLOYEES'!$A$11:$A$60,0)),0))</x:f>
        <x:v>5</x:v>
      </x:c>
      <x:c r="G41" s="68" t="n">
        <x:f>IF(A41="","",SUMIFS('REQUESTS'!$I$11:$I$90,'REQUESTS'!$B$11:$B$90,A41,'REQUESTS'!$E$11:$E$90,D41,'REQUESTS'!$J$11:$J$90,"Approved"))</x:f>
        <x:v>0.5</x:v>
      </x:c>
      <x:c r="H41" s="68" t="n">
        <x:f>IF(A41="","",SUMIFS('REQUESTS'!$I$11:$I$90,'REQUESTS'!$B$11:$B$90,A41,'REQUESTS'!$E$11:$E$90,D41,'REQUESTS'!$J$11:$J$90,"Pending"))</x:f>
        <x:v>0</x:v>
      </x:c>
      <x:c r="I41" s="68" t="n">
        <x:f>IF(A41="","",E41+F41-G41)</x:f>
        <x:v>4.5</x:v>
      </x:c>
      <x:c r="J41" s="68" t="n">
        <x:f>IF(A41="","",I41-H41)</x:f>
        <x:v>4.5</x:v>
      </x:c>
      <x:c r="K41" s="55" t="str">
        <x:f>IF(A41="","",IF(F41=0,"Not applicable",IF(J41&lt;0,"At Risk",IF(J41&lt;='SETUP'!$D$16,"Low","Healthy"))))</x:f>
        <x:v>Healthy</x:v>
      </x:c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26" t="str">
        <x:v>EMP-008</x:v>
      </x:c>
      <x:c r="B42" s="26" t="str">
        <x:v>Amelia Stone</x:v>
      </x:c>
      <x:c r="C42" s="26" t="str">
        <x:v>Client Success</x:v>
      </x:c>
      <x:c r="D42" s="26" t="str">
        <x:v>Unpaid Leave</x:v>
      </x:c>
      <x:c r="E42" s="29" t="n">
        <x:v>0</x:v>
      </x:c>
      <x:c r="F42" s="68" t="n">
        <x:f>IF(A42="","",IFERROR(INDEX('SETUP'!$K$11:$K$14,MATCH(D42,'SETUP'!$J$11:$J$14,0))*INDEX('EMPLOYEES'!$G$11:$G$60,MATCH(A42,'EMPLOYEES'!$A$11:$A$60,0)),0))</x:f>
        <x:v>0</x:v>
      </x:c>
      <x:c r="G42" s="68" t="n">
        <x:f>IF(A42="","",SUMIFS('REQUESTS'!$I$11:$I$90,'REQUESTS'!$B$11:$B$90,A42,'REQUESTS'!$E$11:$E$90,D42,'REQUESTS'!$J$11:$J$90,"Approved"))</x:f>
        <x:v>0</x:v>
      </x:c>
      <x:c r="H42" s="68" t="n">
        <x:f>IF(A42="","",SUMIFS('REQUESTS'!$I$11:$I$90,'REQUESTS'!$B$11:$B$90,A42,'REQUESTS'!$E$11:$E$90,D42,'REQUESTS'!$J$11:$J$90,"Pending"))</x:f>
        <x:v>0</x:v>
      </x:c>
      <x:c r="I42" s="68" t="n">
        <x:f>IF(A42="","",E42+F42-G42)</x:f>
        <x:v>0</x:v>
      </x:c>
      <x:c r="J42" s="68" t="n">
        <x:f>IF(A42="","",I42-H42)</x:f>
        <x:v>0</x:v>
      </x:c>
      <x:c r="K42" s="55" t="str">
        <x:f>IF(A42="","",IF(F42=0,"Not applicable",IF(J42&lt;0,"At Risk",IF(J42&lt;='SETUP'!$D$16,"Low","Healthy"))))</x:f>
        <x:v>Not applicable</x:v>
      </x:c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26"/>
      <x:c r="B43" s="26"/>
      <x:c r="C43" s="26"/>
      <x:c r="D43" s="26"/>
      <x:c r="E43" s="29"/>
      <x:c r="F43" s="68" t="str">
        <x:f>IF(A43="","",IFERROR(INDEX('SETUP'!$K$11:$K$14,MATCH(D43,'SETUP'!$J$11:$J$14,0))*INDEX('EMPLOYEES'!$G$11:$G$60,MATCH(A43,'EMPLOYEES'!$A$11:$A$60,0)),0))</x:f>
      </x:c>
      <x:c r="G43" s="68" t="str">
        <x:f>IF(A43="","",SUMIFS('REQUESTS'!$I$11:$I$90,'REQUESTS'!$B$11:$B$90,A43,'REQUESTS'!$E$11:$E$90,D43,'REQUESTS'!$J$11:$J$90,"Approved"))</x:f>
      </x:c>
      <x:c r="H43" s="68" t="str">
        <x:f>IF(A43="","",SUMIFS('REQUESTS'!$I$11:$I$90,'REQUESTS'!$B$11:$B$90,A43,'REQUESTS'!$E$11:$E$90,D43,'REQUESTS'!$J$11:$J$90,"Pending"))</x:f>
      </x:c>
      <x:c r="I43" s="68" t="str">
        <x:f>IF(A43="","",E43+F43-G43)</x:f>
      </x:c>
      <x:c r="J43" s="68" t="str">
        <x:f>IF(A43="","",I43-H43)</x:f>
      </x:c>
      <x:c r="K43" s="55" t="str">
        <x:f>IF(A43="","",IF(F43=0,"Not applicable",IF(J43&lt;0,"At Risk",IF(J43&lt;='SETUP'!$D$16,"Low","Healthy"))))</x:f>
      </x:c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26"/>
      <x:c r="B44" s="26"/>
      <x:c r="C44" s="26"/>
      <x:c r="D44" s="26"/>
      <x:c r="E44" s="29"/>
      <x:c r="F44" s="68" t="str">
        <x:f>IF(A44="","",IFERROR(INDEX('SETUP'!$K$11:$K$14,MATCH(D44,'SETUP'!$J$11:$J$14,0))*INDEX('EMPLOYEES'!$G$11:$G$60,MATCH(A44,'EMPLOYEES'!$A$11:$A$60,0)),0))</x:f>
      </x:c>
      <x:c r="G44" s="68" t="str">
        <x:f>IF(A44="","",SUMIFS('REQUESTS'!$I$11:$I$90,'REQUESTS'!$B$11:$B$90,A44,'REQUESTS'!$E$11:$E$90,D44,'REQUESTS'!$J$11:$J$90,"Approved"))</x:f>
      </x:c>
      <x:c r="H44" s="68" t="str">
        <x:f>IF(A44="","",SUMIFS('REQUESTS'!$I$11:$I$90,'REQUESTS'!$B$11:$B$90,A44,'REQUESTS'!$E$11:$E$90,D44,'REQUESTS'!$J$11:$J$90,"Pending"))</x:f>
      </x:c>
      <x:c r="I44" s="68" t="str">
        <x:f>IF(A44="","",E44+F44-G44)</x:f>
      </x:c>
      <x:c r="J44" s="68" t="str">
        <x:f>IF(A44="","",I44-H44)</x:f>
      </x:c>
      <x:c r="K44" s="55" t="str">
        <x:f>IF(A44="","",IF(F44=0,"Not applicable",IF(J44&lt;0,"At Risk",IF(J44&lt;='SETUP'!$D$16,"Low","Healthy"))))</x:f>
      </x:c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26"/>
      <x:c r="B45" s="26"/>
      <x:c r="C45" s="26"/>
      <x:c r="D45" s="26"/>
      <x:c r="E45" s="29"/>
      <x:c r="F45" s="68" t="str">
        <x:f>IF(A45="","",IFERROR(INDEX('SETUP'!$K$11:$K$14,MATCH(D45,'SETUP'!$J$11:$J$14,0))*INDEX('EMPLOYEES'!$G$11:$G$60,MATCH(A45,'EMPLOYEES'!$A$11:$A$60,0)),0))</x:f>
      </x:c>
      <x:c r="G45" s="68" t="str">
        <x:f>IF(A45="","",SUMIFS('REQUESTS'!$I$11:$I$90,'REQUESTS'!$B$11:$B$90,A45,'REQUESTS'!$E$11:$E$90,D45,'REQUESTS'!$J$11:$J$90,"Approved"))</x:f>
      </x:c>
      <x:c r="H45" s="68" t="str">
        <x:f>IF(A45="","",SUMIFS('REQUESTS'!$I$11:$I$90,'REQUESTS'!$B$11:$B$90,A45,'REQUESTS'!$E$11:$E$90,D45,'REQUESTS'!$J$11:$J$90,"Pending"))</x:f>
      </x:c>
      <x:c r="I45" s="68" t="str">
        <x:f>IF(A45="","",E45+F45-G45)</x:f>
      </x:c>
      <x:c r="J45" s="68" t="str">
        <x:f>IF(A45="","",I45-H45)</x:f>
      </x:c>
      <x:c r="K45" s="55" t="str">
        <x:f>IF(A45="","",IF(F45=0,"Not applicable",IF(J45&lt;0,"At Risk",IF(J45&lt;='SETUP'!$D$16,"Low","Healthy"))))</x:f>
      </x:c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26"/>
      <x:c r="B46" s="26"/>
      <x:c r="C46" s="26"/>
      <x:c r="D46" s="26"/>
      <x:c r="E46" s="29"/>
      <x:c r="F46" s="68" t="str">
        <x:f>IF(A46="","",IFERROR(INDEX('SETUP'!$K$11:$K$14,MATCH(D46,'SETUP'!$J$11:$J$14,0))*INDEX('EMPLOYEES'!$G$11:$G$60,MATCH(A46,'EMPLOYEES'!$A$11:$A$60,0)),0))</x:f>
      </x:c>
      <x:c r="G46" s="68" t="str">
        <x:f>IF(A46="","",SUMIFS('REQUESTS'!$I$11:$I$90,'REQUESTS'!$B$11:$B$90,A46,'REQUESTS'!$E$11:$E$90,D46,'REQUESTS'!$J$11:$J$90,"Approved"))</x:f>
      </x:c>
      <x:c r="H46" s="68" t="str">
        <x:f>IF(A46="","",SUMIFS('REQUESTS'!$I$11:$I$90,'REQUESTS'!$B$11:$B$90,A46,'REQUESTS'!$E$11:$E$90,D46,'REQUESTS'!$J$11:$J$90,"Pending"))</x:f>
      </x:c>
      <x:c r="I46" s="68" t="str">
        <x:f>IF(A46="","",E46+F46-G46)</x:f>
      </x:c>
      <x:c r="J46" s="68" t="str">
        <x:f>IF(A46="","",I46-H46)</x:f>
      </x:c>
      <x:c r="K46" s="55" t="str">
        <x:f>IF(A46="","",IF(F46=0,"Not applicable",IF(J46&lt;0,"At Risk",IF(J46&lt;='SETUP'!$D$16,"Low","Healthy"))))</x:f>
      </x:c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26"/>
      <x:c r="B47" s="26"/>
      <x:c r="C47" s="26"/>
      <x:c r="D47" s="26"/>
      <x:c r="E47" s="29"/>
      <x:c r="F47" s="68" t="str">
        <x:f>IF(A47="","",IFERROR(INDEX('SETUP'!$K$11:$K$14,MATCH(D47,'SETUP'!$J$11:$J$14,0))*INDEX('EMPLOYEES'!$G$11:$G$60,MATCH(A47,'EMPLOYEES'!$A$11:$A$60,0)),0))</x:f>
      </x:c>
      <x:c r="G47" s="68" t="str">
        <x:f>IF(A47="","",SUMIFS('REQUESTS'!$I$11:$I$90,'REQUESTS'!$B$11:$B$90,A47,'REQUESTS'!$E$11:$E$90,D47,'REQUESTS'!$J$11:$J$90,"Approved"))</x:f>
      </x:c>
      <x:c r="H47" s="68" t="str">
        <x:f>IF(A47="","",SUMIFS('REQUESTS'!$I$11:$I$90,'REQUESTS'!$B$11:$B$90,A47,'REQUESTS'!$E$11:$E$90,D47,'REQUESTS'!$J$11:$J$90,"Pending"))</x:f>
      </x:c>
      <x:c r="I47" s="68" t="str">
        <x:f>IF(A47="","",E47+F47-G47)</x:f>
      </x:c>
      <x:c r="J47" s="68" t="str">
        <x:f>IF(A47="","",I47-H47)</x:f>
      </x:c>
      <x:c r="K47" s="55" t="str">
        <x:f>IF(A47="","",IF(F47=0,"Not applicable",IF(J47&lt;0,"At Risk",IF(J47&lt;='SETUP'!$D$16,"Low","Healthy"))))</x:f>
      </x:c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26"/>
      <x:c r="B48" s="26"/>
      <x:c r="C48" s="26"/>
      <x:c r="D48" s="26"/>
      <x:c r="E48" s="29"/>
      <x:c r="F48" s="68" t="str">
        <x:f>IF(A48="","",IFERROR(INDEX('SETUP'!$K$11:$K$14,MATCH(D48,'SETUP'!$J$11:$J$14,0))*INDEX('EMPLOYEES'!$G$11:$G$60,MATCH(A48,'EMPLOYEES'!$A$11:$A$60,0)),0))</x:f>
      </x:c>
      <x:c r="G48" s="68" t="str">
        <x:f>IF(A48="","",SUMIFS('REQUESTS'!$I$11:$I$90,'REQUESTS'!$B$11:$B$90,A48,'REQUESTS'!$E$11:$E$90,D48,'REQUESTS'!$J$11:$J$90,"Approved"))</x:f>
      </x:c>
      <x:c r="H48" s="68" t="str">
        <x:f>IF(A48="","",SUMIFS('REQUESTS'!$I$11:$I$90,'REQUESTS'!$B$11:$B$90,A48,'REQUESTS'!$E$11:$E$90,D48,'REQUESTS'!$J$11:$J$90,"Pending"))</x:f>
      </x:c>
      <x:c r="I48" s="68" t="str">
        <x:f>IF(A48="","",E48+F48-G48)</x:f>
      </x:c>
      <x:c r="J48" s="68" t="str">
        <x:f>IF(A48="","",I48-H48)</x:f>
      </x:c>
      <x:c r="K48" s="55" t="str">
        <x:f>IF(A48="","",IF(F48=0,"Not applicable",IF(J48&lt;0,"At Risk",IF(J48&lt;='SETUP'!$D$16,"Low","Healthy"))))</x:f>
      </x:c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26"/>
      <x:c r="B49" s="26"/>
      <x:c r="C49" s="26"/>
      <x:c r="D49" s="26"/>
      <x:c r="E49" s="29"/>
      <x:c r="F49" s="68" t="str">
        <x:f>IF(A49="","",IFERROR(INDEX('SETUP'!$K$11:$K$14,MATCH(D49,'SETUP'!$J$11:$J$14,0))*INDEX('EMPLOYEES'!$G$11:$G$60,MATCH(A49,'EMPLOYEES'!$A$11:$A$60,0)),0))</x:f>
      </x:c>
      <x:c r="G49" s="68" t="str">
        <x:f>IF(A49="","",SUMIFS('REQUESTS'!$I$11:$I$90,'REQUESTS'!$B$11:$B$90,A49,'REQUESTS'!$E$11:$E$90,D49,'REQUESTS'!$J$11:$J$90,"Approved"))</x:f>
      </x:c>
      <x:c r="H49" s="68" t="str">
        <x:f>IF(A49="","",SUMIFS('REQUESTS'!$I$11:$I$90,'REQUESTS'!$B$11:$B$90,A49,'REQUESTS'!$E$11:$E$90,D49,'REQUESTS'!$J$11:$J$90,"Pending"))</x:f>
      </x:c>
      <x:c r="I49" s="68" t="str">
        <x:f>IF(A49="","",E49+F49-G49)</x:f>
      </x:c>
      <x:c r="J49" s="68" t="str">
        <x:f>IF(A49="","",I49-H49)</x:f>
      </x:c>
      <x:c r="K49" s="55" t="str">
        <x:f>IF(A49="","",IF(F49=0,"Not applicable",IF(J49&lt;0,"At Risk",IF(J49&lt;='SETUP'!$D$16,"Low","Healthy"))))</x:f>
      </x:c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26"/>
      <x:c r="B50" s="26"/>
      <x:c r="C50" s="26"/>
      <x:c r="D50" s="26"/>
      <x:c r="E50" s="29"/>
      <x:c r="F50" s="68" t="str">
        <x:f>IF(A50="","",IFERROR(INDEX('SETUP'!$K$11:$K$14,MATCH(D50,'SETUP'!$J$11:$J$14,0))*INDEX('EMPLOYEES'!$G$11:$G$60,MATCH(A50,'EMPLOYEES'!$A$11:$A$60,0)),0))</x:f>
      </x:c>
      <x:c r="G50" s="68" t="str">
        <x:f>IF(A50="","",SUMIFS('REQUESTS'!$I$11:$I$90,'REQUESTS'!$B$11:$B$90,A50,'REQUESTS'!$E$11:$E$90,D50,'REQUESTS'!$J$11:$J$90,"Approved"))</x:f>
      </x:c>
      <x:c r="H50" s="68" t="str">
        <x:f>IF(A50="","",SUMIFS('REQUESTS'!$I$11:$I$90,'REQUESTS'!$B$11:$B$90,A50,'REQUESTS'!$E$11:$E$90,D50,'REQUESTS'!$J$11:$J$90,"Pending"))</x:f>
      </x:c>
      <x:c r="I50" s="68" t="str">
        <x:f>IF(A50="","",E50+F50-G50)</x:f>
      </x:c>
      <x:c r="J50" s="68" t="str">
        <x:f>IF(A50="","",I50-H50)</x:f>
      </x:c>
      <x:c r="K50" s="55" t="str">
        <x:f>IF(A50="","",IF(F50=0,"Not applicable",IF(J50&lt;0,"At Risk",IF(J50&lt;='SETUP'!$D$16,"Low","Healthy"))))</x:f>
      </x:c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26"/>
      <x:c r="B51" s="26"/>
      <x:c r="C51" s="26"/>
      <x:c r="D51" s="26"/>
      <x:c r="E51" s="29"/>
      <x:c r="F51" s="68" t="str">
        <x:f>IF(A51="","",IFERROR(INDEX('SETUP'!$K$11:$K$14,MATCH(D51,'SETUP'!$J$11:$J$14,0))*INDEX('EMPLOYEES'!$G$11:$G$60,MATCH(A51,'EMPLOYEES'!$A$11:$A$60,0)),0))</x:f>
      </x:c>
      <x:c r="G51" s="68" t="str">
        <x:f>IF(A51="","",SUMIFS('REQUESTS'!$I$11:$I$90,'REQUESTS'!$B$11:$B$90,A51,'REQUESTS'!$E$11:$E$90,D51,'REQUESTS'!$J$11:$J$90,"Approved"))</x:f>
      </x:c>
      <x:c r="H51" s="68" t="str">
        <x:f>IF(A51="","",SUMIFS('REQUESTS'!$I$11:$I$90,'REQUESTS'!$B$11:$B$90,A51,'REQUESTS'!$E$11:$E$90,D51,'REQUESTS'!$J$11:$J$90,"Pending"))</x:f>
      </x:c>
      <x:c r="I51" s="68" t="str">
        <x:f>IF(A51="","",E51+F51-G51)</x:f>
      </x:c>
      <x:c r="J51" s="68" t="str">
        <x:f>IF(A51="","",I51-H51)</x:f>
      </x:c>
      <x:c r="K51" s="55" t="str">
        <x:f>IF(A51="","",IF(F51=0,"Not applicable",IF(J51&lt;0,"At Risk",IF(J51&lt;='SETUP'!$D$16,"Low","Healthy"))))</x:f>
      </x:c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26"/>
      <x:c r="B52" s="26"/>
      <x:c r="C52" s="26"/>
      <x:c r="D52" s="26"/>
      <x:c r="E52" s="29"/>
      <x:c r="F52" s="68" t="str">
        <x:f>IF(A52="","",IFERROR(INDEX('SETUP'!$K$11:$K$14,MATCH(D52,'SETUP'!$J$11:$J$14,0))*INDEX('EMPLOYEES'!$G$11:$G$60,MATCH(A52,'EMPLOYEES'!$A$11:$A$60,0)),0))</x:f>
      </x:c>
      <x:c r="G52" s="68" t="str">
        <x:f>IF(A52="","",SUMIFS('REQUESTS'!$I$11:$I$90,'REQUESTS'!$B$11:$B$90,A52,'REQUESTS'!$E$11:$E$90,D52,'REQUESTS'!$J$11:$J$90,"Approved"))</x:f>
      </x:c>
      <x:c r="H52" s="68" t="str">
        <x:f>IF(A52="","",SUMIFS('REQUESTS'!$I$11:$I$90,'REQUESTS'!$B$11:$B$90,A52,'REQUESTS'!$E$11:$E$90,D52,'REQUESTS'!$J$11:$J$90,"Pending"))</x:f>
      </x:c>
      <x:c r="I52" s="68" t="str">
        <x:f>IF(A52="","",E52+F52-G52)</x:f>
      </x:c>
      <x:c r="J52" s="68" t="str">
        <x:f>IF(A52="","",I52-H52)</x:f>
      </x:c>
      <x:c r="K52" s="55" t="str">
        <x:f>IF(A52="","",IF(F52=0,"Not applicable",IF(J52&lt;0,"At Risk",IF(J52&lt;='SETUP'!$D$16,"Low","Healthy"))))</x:f>
      </x:c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26"/>
      <x:c r="B53" s="26"/>
      <x:c r="C53" s="26"/>
      <x:c r="D53" s="26"/>
      <x:c r="E53" s="29"/>
      <x:c r="F53" s="68" t="str">
        <x:f>IF(A53="","",IFERROR(INDEX('SETUP'!$K$11:$K$14,MATCH(D53,'SETUP'!$J$11:$J$14,0))*INDEX('EMPLOYEES'!$G$11:$G$60,MATCH(A53,'EMPLOYEES'!$A$11:$A$60,0)),0))</x:f>
      </x:c>
      <x:c r="G53" s="68" t="str">
        <x:f>IF(A53="","",SUMIFS('REQUESTS'!$I$11:$I$90,'REQUESTS'!$B$11:$B$90,A53,'REQUESTS'!$E$11:$E$90,D53,'REQUESTS'!$J$11:$J$90,"Approved"))</x:f>
      </x:c>
      <x:c r="H53" s="68" t="str">
        <x:f>IF(A53="","",SUMIFS('REQUESTS'!$I$11:$I$90,'REQUESTS'!$B$11:$B$90,A53,'REQUESTS'!$E$11:$E$90,D53,'REQUESTS'!$J$11:$J$90,"Pending"))</x:f>
      </x:c>
      <x:c r="I53" s="68" t="str">
        <x:f>IF(A53="","",E53+F53-G53)</x:f>
      </x:c>
      <x:c r="J53" s="68" t="str">
        <x:f>IF(A53="","",I53-H53)</x:f>
      </x:c>
      <x:c r="K53" s="55" t="str">
        <x:f>IF(A53="","",IF(F53=0,"Not applicable",IF(J53&lt;0,"At Risk",IF(J53&lt;='SETUP'!$D$16,"Low","Healthy"))))</x:f>
      </x:c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26"/>
      <x:c r="B54" s="26"/>
      <x:c r="C54" s="26"/>
      <x:c r="D54" s="26"/>
      <x:c r="E54" s="29"/>
      <x:c r="F54" s="68" t="str">
        <x:f>IF(A54="","",IFERROR(INDEX('SETUP'!$K$11:$K$14,MATCH(D54,'SETUP'!$J$11:$J$14,0))*INDEX('EMPLOYEES'!$G$11:$G$60,MATCH(A54,'EMPLOYEES'!$A$11:$A$60,0)),0))</x:f>
      </x:c>
      <x:c r="G54" s="68" t="str">
        <x:f>IF(A54="","",SUMIFS('REQUESTS'!$I$11:$I$90,'REQUESTS'!$B$11:$B$90,A54,'REQUESTS'!$E$11:$E$90,D54,'REQUESTS'!$J$11:$J$90,"Approved"))</x:f>
      </x:c>
      <x:c r="H54" s="68" t="str">
        <x:f>IF(A54="","",SUMIFS('REQUESTS'!$I$11:$I$90,'REQUESTS'!$B$11:$B$90,A54,'REQUESTS'!$E$11:$E$90,D54,'REQUESTS'!$J$11:$J$90,"Pending"))</x:f>
      </x:c>
      <x:c r="I54" s="68" t="str">
        <x:f>IF(A54="","",E54+F54-G54)</x:f>
      </x:c>
      <x:c r="J54" s="68" t="str">
        <x:f>IF(A54="","",I54-H54)</x:f>
      </x:c>
      <x:c r="K54" s="55" t="str">
        <x:f>IF(A54="","",IF(F54=0,"Not applicable",IF(J54&lt;0,"At Risk",IF(J54&lt;='SETUP'!$D$16,"Low","Healthy"))))</x:f>
      </x:c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26"/>
      <x:c r="B55" s="26"/>
      <x:c r="C55" s="26"/>
      <x:c r="D55" s="26"/>
      <x:c r="E55" s="29"/>
      <x:c r="F55" s="68" t="str">
        <x:f>IF(A55="","",IFERROR(INDEX('SETUP'!$K$11:$K$14,MATCH(D55,'SETUP'!$J$11:$J$14,0))*INDEX('EMPLOYEES'!$G$11:$G$60,MATCH(A55,'EMPLOYEES'!$A$11:$A$60,0)),0))</x:f>
      </x:c>
      <x:c r="G55" s="68" t="str">
        <x:f>IF(A55="","",SUMIFS('REQUESTS'!$I$11:$I$90,'REQUESTS'!$B$11:$B$90,A55,'REQUESTS'!$E$11:$E$90,D55,'REQUESTS'!$J$11:$J$90,"Approved"))</x:f>
      </x:c>
      <x:c r="H55" s="68" t="str">
        <x:f>IF(A55="","",SUMIFS('REQUESTS'!$I$11:$I$90,'REQUESTS'!$B$11:$B$90,A55,'REQUESTS'!$E$11:$E$90,D55,'REQUESTS'!$J$11:$J$90,"Pending"))</x:f>
      </x:c>
      <x:c r="I55" s="68" t="str">
        <x:f>IF(A55="","",E55+F55-G55)</x:f>
      </x:c>
      <x:c r="J55" s="68" t="str">
        <x:f>IF(A55="","",I55-H55)</x:f>
      </x:c>
      <x:c r="K55" s="55" t="str">
        <x:f>IF(A55="","",IF(F55=0,"Not applicable",IF(J55&lt;0,"At Risk",IF(J55&lt;='SETUP'!$D$16,"Low","Healthy"))))</x:f>
      </x:c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26"/>
      <x:c r="B56" s="26"/>
      <x:c r="C56" s="26"/>
      <x:c r="D56" s="26"/>
      <x:c r="E56" s="29"/>
      <x:c r="F56" s="68" t="str">
        <x:f>IF(A56="","",IFERROR(INDEX('SETUP'!$K$11:$K$14,MATCH(D56,'SETUP'!$J$11:$J$14,0))*INDEX('EMPLOYEES'!$G$11:$G$60,MATCH(A56,'EMPLOYEES'!$A$11:$A$60,0)),0))</x:f>
      </x:c>
      <x:c r="G56" s="68" t="str">
        <x:f>IF(A56="","",SUMIFS('REQUESTS'!$I$11:$I$90,'REQUESTS'!$B$11:$B$90,A56,'REQUESTS'!$E$11:$E$90,D56,'REQUESTS'!$J$11:$J$90,"Approved"))</x:f>
      </x:c>
      <x:c r="H56" s="68" t="str">
        <x:f>IF(A56="","",SUMIFS('REQUESTS'!$I$11:$I$90,'REQUESTS'!$B$11:$B$90,A56,'REQUESTS'!$E$11:$E$90,D56,'REQUESTS'!$J$11:$J$90,"Pending"))</x:f>
      </x:c>
      <x:c r="I56" s="68" t="str">
        <x:f>IF(A56="","",E56+F56-G56)</x:f>
      </x:c>
      <x:c r="J56" s="68" t="str">
        <x:f>IF(A56="","",I56-H56)</x:f>
      </x:c>
      <x:c r="K56" s="55" t="str">
        <x:f>IF(A56="","",IF(F56=0,"Not applicable",IF(J56&lt;0,"At Risk",IF(J56&lt;='SETUP'!$D$16,"Low","Healthy"))))</x:f>
      </x:c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26"/>
      <x:c r="B57" s="26"/>
      <x:c r="C57" s="26"/>
      <x:c r="D57" s="26"/>
      <x:c r="E57" s="29"/>
      <x:c r="F57" s="68" t="str">
        <x:f>IF(A57="","",IFERROR(INDEX('SETUP'!$K$11:$K$14,MATCH(D57,'SETUP'!$J$11:$J$14,0))*INDEX('EMPLOYEES'!$G$11:$G$60,MATCH(A57,'EMPLOYEES'!$A$11:$A$60,0)),0))</x:f>
      </x:c>
      <x:c r="G57" s="68" t="str">
        <x:f>IF(A57="","",SUMIFS('REQUESTS'!$I$11:$I$90,'REQUESTS'!$B$11:$B$90,A57,'REQUESTS'!$E$11:$E$90,D57,'REQUESTS'!$J$11:$J$90,"Approved"))</x:f>
      </x:c>
      <x:c r="H57" s="68" t="str">
        <x:f>IF(A57="","",SUMIFS('REQUESTS'!$I$11:$I$90,'REQUESTS'!$B$11:$B$90,A57,'REQUESTS'!$E$11:$E$90,D57,'REQUESTS'!$J$11:$J$90,"Pending"))</x:f>
      </x:c>
      <x:c r="I57" s="68" t="str">
        <x:f>IF(A57="","",E57+F57-G57)</x:f>
      </x:c>
      <x:c r="J57" s="68" t="str">
        <x:f>IF(A57="","",I57-H57)</x:f>
      </x:c>
      <x:c r="K57" s="55" t="str">
        <x:f>IF(A57="","",IF(F57=0,"Not applicable",IF(J57&lt;0,"At Risk",IF(J57&lt;='SETUP'!$D$16,"Low","Healthy"))))</x:f>
      </x:c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26"/>
      <x:c r="B58" s="26"/>
      <x:c r="C58" s="26"/>
      <x:c r="D58" s="26"/>
      <x:c r="E58" s="29"/>
      <x:c r="F58" s="68" t="str">
        <x:f>IF(A58="","",IFERROR(INDEX('SETUP'!$K$11:$K$14,MATCH(D58,'SETUP'!$J$11:$J$14,0))*INDEX('EMPLOYEES'!$G$11:$G$60,MATCH(A58,'EMPLOYEES'!$A$11:$A$60,0)),0))</x:f>
      </x:c>
      <x:c r="G58" s="68" t="str">
        <x:f>IF(A58="","",SUMIFS('REQUESTS'!$I$11:$I$90,'REQUESTS'!$B$11:$B$90,A58,'REQUESTS'!$E$11:$E$90,D58,'REQUESTS'!$J$11:$J$90,"Approved"))</x:f>
      </x:c>
      <x:c r="H58" s="68" t="str">
        <x:f>IF(A58="","",SUMIFS('REQUESTS'!$I$11:$I$90,'REQUESTS'!$B$11:$B$90,A58,'REQUESTS'!$E$11:$E$90,D58,'REQUESTS'!$J$11:$J$90,"Pending"))</x:f>
      </x:c>
      <x:c r="I58" s="68" t="str">
        <x:f>IF(A58="","",E58+F58-G58)</x:f>
      </x:c>
      <x:c r="J58" s="68" t="str">
        <x:f>IF(A58="","",I58-H58)</x:f>
      </x:c>
      <x:c r="K58" s="55" t="str">
        <x:f>IF(A58="","",IF(F58=0,"Not applicable",IF(J58&lt;0,"At Risk",IF(J58&lt;='SETUP'!$D$16,"Low","Healthy"))))</x:f>
      </x:c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26"/>
      <x:c r="B59" s="26"/>
      <x:c r="C59" s="26"/>
      <x:c r="D59" s="26"/>
      <x:c r="E59" s="29"/>
      <x:c r="F59" s="68" t="str">
        <x:f>IF(A59="","",IFERROR(INDEX('SETUP'!$K$11:$K$14,MATCH(D59,'SETUP'!$J$11:$J$14,0))*INDEX('EMPLOYEES'!$G$11:$G$60,MATCH(A59,'EMPLOYEES'!$A$11:$A$60,0)),0))</x:f>
      </x:c>
      <x:c r="G59" s="68" t="str">
        <x:f>IF(A59="","",SUMIFS('REQUESTS'!$I$11:$I$90,'REQUESTS'!$B$11:$B$90,A59,'REQUESTS'!$E$11:$E$90,D59,'REQUESTS'!$J$11:$J$90,"Approved"))</x:f>
      </x:c>
      <x:c r="H59" s="68" t="str">
        <x:f>IF(A59="","",SUMIFS('REQUESTS'!$I$11:$I$90,'REQUESTS'!$B$11:$B$90,A59,'REQUESTS'!$E$11:$E$90,D59,'REQUESTS'!$J$11:$J$90,"Pending"))</x:f>
      </x:c>
      <x:c r="I59" s="68" t="str">
        <x:f>IF(A59="","",E59+F59-G59)</x:f>
      </x:c>
      <x:c r="J59" s="68" t="str">
        <x:f>IF(A59="","",I59-H59)</x:f>
      </x:c>
      <x:c r="K59" s="55" t="str">
        <x:f>IF(A59="","",IF(F59=0,"Not applicable",IF(J59&lt;0,"At Risk",IF(J59&lt;='SETUP'!$D$16,"Low","Healthy"))))</x:f>
      </x:c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26"/>
      <x:c r="B60" s="26"/>
      <x:c r="C60" s="26"/>
      <x:c r="D60" s="26"/>
      <x:c r="E60" s="29"/>
      <x:c r="F60" s="68" t="str">
        <x:f>IF(A60="","",IFERROR(INDEX('SETUP'!$K$11:$K$14,MATCH(D60,'SETUP'!$J$11:$J$14,0))*INDEX('EMPLOYEES'!$G$11:$G$60,MATCH(A60,'EMPLOYEES'!$A$11:$A$60,0)),0))</x:f>
      </x:c>
      <x:c r="G60" s="68" t="str">
        <x:f>IF(A60="","",SUMIFS('REQUESTS'!$I$11:$I$90,'REQUESTS'!$B$11:$B$90,A60,'REQUESTS'!$E$11:$E$90,D60,'REQUESTS'!$J$11:$J$90,"Approved"))</x:f>
      </x:c>
      <x:c r="H60" s="68" t="str">
        <x:f>IF(A60="","",SUMIFS('REQUESTS'!$I$11:$I$90,'REQUESTS'!$B$11:$B$90,A60,'REQUESTS'!$E$11:$E$90,D60,'REQUESTS'!$J$11:$J$90,"Pending"))</x:f>
      </x:c>
      <x:c r="I60" s="68" t="str">
        <x:f>IF(A60="","",E60+F60-G60)</x:f>
      </x:c>
      <x:c r="J60" s="68" t="str">
        <x:f>IF(A60="","",I60-H60)</x:f>
      </x:c>
      <x:c r="K60" s="55" t="str">
        <x:f>IF(A60="","",IF(F60=0,"Not applicable",IF(J60&lt;0,"At Risk",IF(J60&lt;='SETUP'!$D$16,"Low","Healthy"))))</x:f>
      </x:c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26"/>
      <x:c r="B61" s="26"/>
      <x:c r="C61" s="26"/>
      <x:c r="D61" s="26"/>
      <x:c r="E61" s="29"/>
      <x:c r="F61" s="68" t="str">
        <x:f>IF(A61="","",IFERROR(INDEX('SETUP'!$K$11:$K$14,MATCH(D61,'SETUP'!$J$11:$J$14,0))*INDEX('EMPLOYEES'!$G$11:$G$60,MATCH(A61,'EMPLOYEES'!$A$11:$A$60,0)),0))</x:f>
      </x:c>
      <x:c r="G61" s="68" t="str">
        <x:f>IF(A61="","",SUMIFS('REQUESTS'!$I$11:$I$90,'REQUESTS'!$B$11:$B$90,A61,'REQUESTS'!$E$11:$E$90,D61,'REQUESTS'!$J$11:$J$90,"Approved"))</x:f>
      </x:c>
      <x:c r="H61" s="68" t="str">
        <x:f>IF(A61="","",SUMIFS('REQUESTS'!$I$11:$I$90,'REQUESTS'!$B$11:$B$90,A61,'REQUESTS'!$E$11:$E$90,D61,'REQUESTS'!$J$11:$J$90,"Pending"))</x:f>
      </x:c>
      <x:c r="I61" s="68" t="str">
        <x:f>IF(A61="","",E61+F61-G61)</x:f>
      </x:c>
      <x:c r="J61" s="68" t="str">
        <x:f>IF(A61="","",I61-H61)</x:f>
      </x:c>
      <x:c r="K61" s="55" t="str">
        <x:f>IF(A61="","",IF(F61=0,"Not applicable",IF(J61&lt;0,"At Risk",IF(J61&lt;='SETUP'!$D$16,"Low","Healthy"))))</x:f>
      </x:c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26"/>
      <x:c r="B62" s="26"/>
      <x:c r="C62" s="26"/>
      <x:c r="D62" s="26"/>
      <x:c r="E62" s="29"/>
      <x:c r="F62" s="68" t="str">
        <x:f>IF(A62="","",IFERROR(INDEX('SETUP'!$K$11:$K$14,MATCH(D62,'SETUP'!$J$11:$J$14,0))*INDEX('EMPLOYEES'!$G$11:$G$60,MATCH(A62,'EMPLOYEES'!$A$11:$A$60,0)),0))</x:f>
      </x:c>
      <x:c r="G62" s="68" t="str">
        <x:f>IF(A62="","",SUMIFS('REQUESTS'!$I$11:$I$90,'REQUESTS'!$B$11:$B$90,A62,'REQUESTS'!$E$11:$E$90,D62,'REQUESTS'!$J$11:$J$90,"Approved"))</x:f>
      </x:c>
      <x:c r="H62" s="68" t="str">
        <x:f>IF(A62="","",SUMIFS('REQUESTS'!$I$11:$I$90,'REQUESTS'!$B$11:$B$90,A62,'REQUESTS'!$E$11:$E$90,D62,'REQUESTS'!$J$11:$J$90,"Pending"))</x:f>
      </x:c>
      <x:c r="I62" s="68" t="str">
        <x:f>IF(A62="","",E62+F62-G62)</x:f>
      </x:c>
      <x:c r="J62" s="68" t="str">
        <x:f>IF(A62="","",I62-H62)</x:f>
      </x:c>
      <x:c r="K62" s="55" t="str">
        <x:f>IF(A62="","",IF(F62=0,"Not applicable",IF(J62&lt;0,"At Risk",IF(J62&lt;='SETUP'!$D$16,"Low","Healthy"))))</x:f>
      </x:c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26"/>
      <x:c r="B63" s="26"/>
      <x:c r="C63" s="26"/>
      <x:c r="D63" s="26"/>
      <x:c r="E63" s="29"/>
      <x:c r="F63" s="68" t="str">
        <x:f>IF(A63="","",IFERROR(INDEX('SETUP'!$K$11:$K$14,MATCH(D63,'SETUP'!$J$11:$J$14,0))*INDEX('EMPLOYEES'!$G$11:$G$60,MATCH(A63,'EMPLOYEES'!$A$11:$A$60,0)),0))</x:f>
      </x:c>
      <x:c r="G63" s="68" t="str">
        <x:f>IF(A63="","",SUMIFS('REQUESTS'!$I$11:$I$90,'REQUESTS'!$B$11:$B$90,A63,'REQUESTS'!$E$11:$E$90,D63,'REQUESTS'!$J$11:$J$90,"Approved"))</x:f>
      </x:c>
      <x:c r="H63" s="68" t="str">
        <x:f>IF(A63="","",SUMIFS('REQUESTS'!$I$11:$I$90,'REQUESTS'!$B$11:$B$90,A63,'REQUESTS'!$E$11:$E$90,D63,'REQUESTS'!$J$11:$J$90,"Pending"))</x:f>
      </x:c>
      <x:c r="I63" s="68" t="str">
        <x:f>IF(A63="","",E63+F63-G63)</x:f>
      </x:c>
      <x:c r="J63" s="68" t="str">
        <x:f>IF(A63="","",I63-H63)</x:f>
      </x:c>
      <x:c r="K63" s="55" t="str">
        <x:f>IF(A63="","",IF(F63=0,"Not applicable",IF(J63&lt;0,"At Risk",IF(J63&lt;='SETUP'!$D$16,"Low","Healthy"))))</x:f>
      </x:c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26"/>
      <x:c r="B64" s="26"/>
      <x:c r="C64" s="26"/>
      <x:c r="D64" s="26"/>
      <x:c r="E64" s="29"/>
      <x:c r="F64" s="68" t="str">
        <x:f>IF(A64="","",IFERROR(INDEX('SETUP'!$K$11:$K$14,MATCH(D64,'SETUP'!$J$11:$J$14,0))*INDEX('EMPLOYEES'!$G$11:$G$60,MATCH(A64,'EMPLOYEES'!$A$11:$A$60,0)),0))</x:f>
      </x:c>
      <x:c r="G64" s="68" t="str">
        <x:f>IF(A64="","",SUMIFS('REQUESTS'!$I$11:$I$90,'REQUESTS'!$B$11:$B$90,A64,'REQUESTS'!$E$11:$E$90,D64,'REQUESTS'!$J$11:$J$90,"Approved"))</x:f>
      </x:c>
      <x:c r="H64" s="68" t="str">
        <x:f>IF(A64="","",SUMIFS('REQUESTS'!$I$11:$I$90,'REQUESTS'!$B$11:$B$90,A64,'REQUESTS'!$E$11:$E$90,D64,'REQUESTS'!$J$11:$J$90,"Pending"))</x:f>
      </x:c>
      <x:c r="I64" s="68" t="str">
        <x:f>IF(A64="","",E64+F64-G64)</x:f>
      </x:c>
      <x:c r="J64" s="68" t="str">
        <x:f>IF(A64="","",I64-H64)</x:f>
      </x:c>
      <x:c r="K64" s="55" t="str">
        <x:f>IF(A64="","",IF(F64=0,"Not applicable",IF(J64&lt;0,"At Risk",IF(J64&lt;='SETUP'!$D$16,"Low","Healthy"))))</x:f>
      </x:c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26"/>
      <x:c r="B65" s="26"/>
      <x:c r="C65" s="26"/>
      <x:c r="D65" s="26"/>
      <x:c r="E65" s="29"/>
      <x:c r="F65" s="68" t="str">
        <x:f>IF(A65="","",IFERROR(INDEX('SETUP'!$K$11:$K$14,MATCH(D65,'SETUP'!$J$11:$J$14,0))*INDEX('EMPLOYEES'!$G$11:$G$60,MATCH(A65,'EMPLOYEES'!$A$11:$A$60,0)),0))</x:f>
      </x:c>
      <x:c r="G65" s="68" t="str">
        <x:f>IF(A65="","",SUMIFS('REQUESTS'!$I$11:$I$90,'REQUESTS'!$B$11:$B$90,A65,'REQUESTS'!$E$11:$E$90,D65,'REQUESTS'!$J$11:$J$90,"Approved"))</x:f>
      </x:c>
      <x:c r="H65" s="68" t="str">
        <x:f>IF(A65="","",SUMIFS('REQUESTS'!$I$11:$I$90,'REQUESTS'!$B$11:$B$90,A65,'REQUESTS'!$E$11:$E$90,D65,'REQUESTS'!$J$11:$J$90,"Pending"))</x:f>
      </x:c>
      <x:c r="I65" s="68" t="str">
        <x:f>IF(A65="","",E65+F65-G65)</x:f>
      </x:c>
      <x:c r="J65" s="68" t="str">
        <x:f>IF(A65="","",I65-H65)</x:f>
      </x:c>
      <x:c r="K65" s="55" t="str">
        <x:f>IF(A65="","",IF(F65=0,"Not applicable",IF(J65&lt;0,"At Risk",IF(J65&lt;='SETUP'!$D$16,"Low","Healthy"))))</x:f>
      </x:c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26"/>
      <x:c r="B66" s="26"/>
      <x:c r="C66" s="26"/>
      <x:c r="D66" s="26"/>
      <x:c r="E66" s="29"/>
      <x:c r="F66" s="68" t="str">
        <x:f>IF(A66="","",IFERROR(INDEX('SETUP'!$K$11:$K$14,MATCH(D66,'SETUP'!$J$11:$J$14,0))*INDEX('EMPLOYEES'!$G$11:$G$60,MATCH(A66,'EMPLOYEES'!$A$11:$A$60,0)),0))</x:f>
      </x:c>
      <x:c r="G66" s="68" t="str">
        <x:f>IF(A66="","",SUMIFS('REQUESTS'!$I$11:$I$90,'REQUESTS'!$B$11:$B$90,A66,'REQUESTS'!$E$11:$E$90,D66,'REQUESTS'!$J$11:$J$90,"Approved"))</x:f>
      </x:c>
      <x:c r="H66" s="68" t="str">
        <x:f>IF(A66="","",SUMIFS('REQUESTS'!$I$11:$I$90,'REQUESTS'!$B$11:$B$90,A66,'REQUESTS'!$E$11:$E$90,D66,'REQUESTS'!$J$11:$J$90,"Pending"))</x:f>
      </x:c>
      <x:c r="I66" s="68" t="str">
        <x:f>IF(A66="","",E66+F66-G66)</x:f>
      </x:c>
      <x:c r="J66" s="68" t="str">
        <x:f>IF(A66="","",I66-H66)</x:f>
      </x:c>
      <x:c r="K66" s="55" t="str">
        <x:f>IF(A66="","",IF(F66=0,"Not applicable",IF(J66&lt;0,"At Risk",IF(J66&lt;='SETUP'!$D$16,"Low","Healthy"))))</x:f>
      </x:c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26"/>
      <x:c r="B67" s="26"/>
      <x:c r="C67" s="26"/>
      <x:c r="D67" s="26"/>
      <x:c r="E67" s="29"/>
      <x:c r="F67" s="68" t="str">
        <x:f>IF(A67="","",IFERROR(INDEX('SETUP'!$K$11:$K$14,MATCH(D67,'SETUP'!$J$11:$J$14,0))*INDEX('EMPLOYEES'!$G$11:$G$60,MATCH(A67,'EMPLOYEES'!$A$11:$A$60,0)),0))</x:f>
      </x:c>
      <x:c r="G67" s="68" t="str">
        <x:f>IF(A67="","",SUMIFS('REQUESTS'!$I$11:$I$90,'REQUESTS'!$B$11:$B$90,A67,'REQUESTS'!$E$11:$E$90,D67,'REQUESTS'!$J$11:$J$90,"Approved"))</x:f>
      </x:c>
      <x:c r="H67" s="68" t="str">
        <x:f>IF(A67="","",SUMIFS('REQUESTS'!$I$11:$I$90,'REQUESTS'!$B$11:$B$90,A67,'REQUESTS'!$E$11:$E$90,D67,'REQUESTS'!$J$11:$J$90,"Pending"))</x:f>
      </x:c>
      <x:c r="I67" s="68" t="str">
        <x:f>IF(A67="","",E67+F67-G67)</x:f>
      </x:c>
      <x:c r="J67" s="68" t="str">
        <x:f>IF(A67="","",I67-H67)</x:f>
      </x:c>
      <x:c r="K67" s="55" t="str">
        <x:f>IF(A67="","",IF(F67=0,"Not applicable",IF(J67&lt;0,"At Risk",IF(J67&lt;='SETUP'!$D$16,"Low","Healthy"))))</x:f>
      </x:c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26"/>
      <x:c r="B68" s="26"/>
      <x:c r="C68" s="26"/>
      <x:c r="D68" s="26"/>
      <x:c r="E68" s="29"/>
      <x:c r="F68" s="68" t="str">
        <x:f>IF(A68="","",IFERROR(INDEX('SETUP'!$K$11:$K$14,MATCH(D68,'SETUP'!$J$11:$J$14,0))*INDEX('EMPLOYEES'!$G$11:$G$60,MATCH(A68,'EMPLOYEES'!$A$11:$A$60,0)),0))</x:f>
      </x:c>
      <x:c r="G68" s="68" t="str">
        <x:f>IF(A68="","",SUMIFS('REQUESTS'!$I$11:$I$90,'REQUESTS'!$B$11:$B$90,A68,'REQUESTS'!$E$11:$E$90,D68,'REQUESTS'!$J$11:$J$90,"Approved"))</x:f>
      </x:c>
      <x:c r="H68" s="68" t="str">
        <x:f>IF(A68="","",SUMIFS('REQUESTS'!$I$11:$I$90,'REQUESTS'!$B$11:$B$90,A68,'REQUESTS'!$E$11:$E$90,D68,'REQUESTS'!$J$11:$J$90,"Pending"))</x:f>
      </x:c>
      <x:c r="I68" s="68" t="str">
        <x:f>IF(A68="","",E68+F68-G68)</x:f>
      </x:c>
      <x:c r="J68" s="68" t="str">
        <x:f>IF(A68="","",I68-H68)</x:f>
      </x:c>
      <x:c r="K68" s="55" t="str">
        <x:f>IF(A68="","",IF(F68=0,"Not applicable",IF(J68&lt;0,"At Risk",IF(J68&lt;='SETUP'!$D$16,"Low","Healthy"))))</x:f>
      </x:c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26"/>
      <x:c r="B69" s="26"/>
      <x:c r="C69" s="26"/>
      <x:c r="D69" s="26"/>
      <x:c r="E69" s="29"/>
      <x:c r="F69" s="68" t="str">
        <x:f>IF(A69="","",IFERROR(INDEX('SETUP'!$K$11:$K$14,MATCH(D69,'SETUP'!$J$11:$J$14,0))*INDEX('EMPLOYEES'!$G$11:$G$60,MATCH(A69,'EMPLOYEES'!$A$11:$A$60,0)),0))</x:f>
      </x:c>
      <x:c r="G69" s="68" t="str">
        <x:f>IF(A69="","",SUMIFS('REQUESTS'!$I$11:$I$90,'REQUESTS'!$B$11:$B$90,A69,'REQUESTS'!$E$11:$E$90,D69,'REQUESTS'!$J$11:$J$90,"Approved"))</x:f>
      </x:c>
      <x:c r="H69" s="68" t="str">
        <x:f>IF(A69="","",SUMIFS('REQUESTS'!$I$11:$I$90,'REQUESTS'!$B$11:$B$90,A69,'REQUESTS'!$E$11:$E$90,D69,'REQUESTS'!$J$11:$J$90,"Pending"))</x:f>
      </x:c>
      <x:c r="I69" s="68" t="str">
        <x:f>IF(A69="","",E69+F69-G69)</x:f>
      </x:c>
      <x:c r="J69" s="68" t="str">
        <x:f>IF(A69="","",I69-H69)</x:f>
      </x:c>
      <x:c r="K69" s="55" t="str">
        <x:f>IF(A69="","",IF(F69=0,"Not applicable",IF(J69&lt;0,"At Risk",IF(J69&lt;='SETUP'!$D$16,"Low","Healthy"))))</x:f>
      </x:c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26"/>
      <x:c r="B70" s="26"/>
      <x:c r="C70" s="26"/>
      <x:c r="D70" s="26"/>
      <x:c r="E70" s="29"/>
      <x:c r="F70" s="68" t="str">
        <x:f>IF(A70="","",IFERROR(INDEX('SETUP'!$K$11:$K$14,MATCH(D70,'SETUP'!$J$11:$J$14,0))*INDEX('EMPLOYEES'!$G$11:$G$60,MATCH(A70,'EMPLOYEES'!$A$11:$A$60,0)),0))</x:f>
      </x:c>
      <x:c r="G70" s="68" t="str">
        <x:f>IF(A70="","",SUMIFS('REQUESTS'!$I$11:$I$90,'REQUESTS'!$B$11:$B$90,A70,'REQUESTS'!$E$11:$E$90,D70,'REQUESTS'!$J$11:$J$90,"Approved"))</x:f>
      </x:c>
      <x:c r="H70" s="68" t="str">
        <x:f>IF(A70="","",SUMIFS('REQUESTS'!$I$11:$I$90,'REQUESTS'!$B$11:$B$90,A70,'REQUESTS'!$E$11:$E$90,D70,'REQUESTS'!$J$11:$J$90,"Pending"))</x:f>
      </x:c>
      <x:c r="I70" s="68" t="str">
        <x:f>IF(A70="","",E70+F70-G70)</x:f>
      </x:c>
      <x:c r="J70" s="68" t="str">
        <x:f>IF(A70="","",I70-H70)</x:f>
      </x:c>
      <x:c r="K70" s="55" t="str">
        <x:f>IF(A70="","",IF(F70=0,"Not applicable",IF(J70&lt;0,"At Risk",IF(J70&lt;='SETUP'!$D$16,"Low","Healthy"))))</x:f>
      </x:c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26"/>
      <x:c r="B71" s="26"/>
      <x:c r="C71" s="26"/>
      <x:c r="D71" s="26"/>
      <x:c r="E71" s="29"/>
      <x:c r="F71" s="68" t="str">
        <x:f>IF(A71="","",IFERROR(INDEX('SETUP'!$K$11:$K$14,MATCH(D71,'SETUP'!$J$11:$J$14,0))*INDEX('EMPLOYEES'!$G$11:$G$60,MATCH(A71,'EMPLOYEES'!$A$11:$A$60,0)),0))</x:f>
      </x:c>
      <x:c r="G71" s="68" t="str">
        <x:f>IF(A71="","",SUMIFS('REQUESTS'!$I$11:$I$90,'REQUESTS'!$B$11:$B$90,A71,'REQUESTS'!$E$11:$E$90,D71,'REQUESTS'!$J$11:$J$90,"Approved"))</x:f>
      </x:c>
      <x:c r="H71" s="68" t="str">
        <x:f>IF(A71="","",SUMIFS('REQUESTS'!$I$11:$I$90,'REQUESTS'!$B$11:$B$90,A71,'REQUESTS'!$E$11:$E$90,D71,'REQUESTS'!$J$11:$J$90,"Pending"))</x:f>
      </x:c>
      <x:c r="I71" s="68" t="str">
        <x:f>IF(A71="","",E71+F71-G71)</x:f>
      </x:c>
      <x:c r="J71" s="68" t="str">
        <x:f>IF(A71="","",I71-H71)</x:f>
      </x:c>
      <x:c r="K71" s="55" t="str">
        <x:f>IF(A71="","",IF(F71=0,"Not applicable",IF(J71&lt;0,"At Risk",IF(J71&lt;='SETUP'!$D$16,"Low","Healthy"))))</x:f>
      </x:c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26"/>
      <x:c r="B72" s="26"/>
      <x:c r="C72" s="26"/>
      <x:c r="D72" s="26"/>
      <x:c r="E72" s="29"/>
      <x:c r="F72" s="68" t="str">
        <x:f>IF(A72="","",IFERROR(INDEX('SETUP'!$K$11:$K$14,MATCH(D72,'SETUP'!$J$11:$J$14,0))*INDEX('EMPLOYEES'!$G$11:$G$60,MATCH(A72,'EMPLOYEES'!$A$11:$A$60,0)),0))</x:f>
      </x:c>
      <x:c r="G72" s="68" t="str">
        <x:f>IF(A72="","",SUMIFS('REQUESTS'!$I$11:$I$90,'REQUESTS'!$B$11:$B$90,A72,'REQUESTS'!$E$11:$E$90,D72,'REQUESTS'!$J$11:$J$90,"Approved"))</x:f>
      </x:c>
      <x:c r="H72" s="68" t="str">
        <x:f>IF(A72="","",SUMIFS('REQUESTS'!$I$11:$I$90,'REQUESTS'!$B$11:$B$90,A72,'REQUESTS'!$E$11:$E$90,D72,'REQUESTS'!$J$11:$J$90,"Pending"))</x:f>
      </x:c>
      <x:c r="I72" s="68" t="str">
        <x:f>IF(A72="","",E72+F72-G72)</x:f>
      </x:c>
      <x:c r="J72" s="68" t="str">
        <x:f>IF(A72="","",I72-H72)</x:f>
      </x:c>
      <x:c r="K72" s="55" t="str">
        <x:f>IF(A72="","",IF(F72=0,"Not applicable",IF(J72&lt;0,"At Risk",IF(J72&lt;='SETUP'!$D$16,"Low","Healthy"))))</x:f>
      </x:c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26"/>
      <x:c r="B73" s="26"/>
      <x:c r="C73" s="26"/>
      <x:c r="D73" s="26"/>
      <x:c r="E73" s="29"/>
      <x:c r="F73" s="68" t="str">
        <x:f>IF(A73="","",IFERROR(INDEX('SETUP'!$K$11:$K$14,MATCH(D73,'SETUP'!$J$11:$J$14,0))*INDEX('EMPLOYEES'!$G$11:$G$60,MATCH(A73,'EMPLOYEES'!$A$11:$A$60,0)),0))</x:f>
      </x:c>
      <x:c r="G73" s="68" t="str">
        <x:f>IF(A73="","",SUMIFS('REQUESTS'!$I$11:$I$90,'REQUESTS'!$B$11:$B$90,A73,'REQUESTS'!$E$11:$E$90,D73,'REQUESTS'!$J$11:$J$90,"Approved"))</x:f>
      </x:c>
      <x:c r="H73" s="68" t="str">
        <x:f>IF(A73="","",SUMIFS('REQUESTS'!$I$11:$I$90,'REQUESTS'!$B$11:$B$90,A73,'REQUESTS'!$E$11:$E$90,D73,'REQUESTS'!$J$11:$J$90,"Pending"))</x:f>
      </x:c>
      <x:c r="I73" s="68" t="str">
        <x:f>IF(A73="","",E73+F73-G73)</x:f>
      </x:c>
      <x:c r="J73" s="68" t="str">
        <x:f>IF(A73="","",I73-H73)</x:f>
      </x:c>
      <x:c r="K73" s="55" t="str">
        <x:f>IF(A73="","",IF(F73=0,"Not applicable",IF(J73&lt;0,"At Risk",IF(J73&lt;='SETUP'!$D$16,"Low","Healthy"))))</x:f>
      </x:c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26"/>
      <x:c r="B74" s="26"/>
      <x:c r="C74" s="26"/>
      <x:c r="D74" s="26"/>
      <x:c r="E74" s="29"/>
      <x:c r="F74" s="68" t="str">
        <x:f>IF(A74="","",IFERROR(INDEX('SETUP'!$K$11:$K$14,MATCH(D74,'SETUP'!$J$11:$J$14,0))*INDEX('EMPLOYEES'!$G$11:$G$60,MATCH(A74,'EMPLOYEES'!$A$11:$A$60,0)),0))</x:f>
      </x:c>
      <x:c r="G74" s="68" t="str">
        <x:f>IF(A74="","",SUMIFS('REQUESTS'!$I$11:$I$90,'REQUESTS'!$B$11:$B$90,A74,'REQUESTS'!$E$11:$E$90,D74,'REQUESTS'!$J$11:$J$90,"Approved"))</x:f>
      </x:c>
      <x:c r="H74" s="68" t="str">
        <x:f>IF(A74="","",SUMIFS('REQUESTS'!$I$11:$I$90,'REQUESTS'!$B$11:$B$90,A74,'REQUESTS'!$E$11:$E$90,D74,'REQUESTS'!$J$11:$J$90,"Pending"))</x:f>
      </x:c>
      <x:c r="I74" s="68" t="str">
        <x:f>IF(A74="","",E74+F74-G74)</x:f>
      </x:c>
      <x:c r="J74" s="68" t="str">
        <x:f>IF(A74="","",I74-H74)</x:f>
      </x:c>
      <x:c r="K74" s="55" t="str">
        <x:f>IF(A74="","",IF(F74=0,"Not applicable",IF(J74&lt;0,"At Risk",IF(J74&lt;='SETUP'!$D$16,"Low","Healthy"))))</x:f>
      </x:c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26"/>
      <x:c r="B75" s="26"/>
      <x:c r="C75" s="26"/>
      <x:c r="D75" s="26"/>
      <x:c r="E75" s="29"/>
      <x:c r="F75" s="68" t="str">
        <x:f>IF(A75="","",IFERROR(INDEX('SETUP'!$K$11:$K$14,MATCH(D75,'SETUP'!$J$11:$J$14,0))*INDEX('EMPLOYEES'!$G$11:$G$60,MATCH(A75,'EMPLOYEES'!$A$11:$A$60,0)),0))</x:f>
      </x:c>
      <x:c r="G75" s="68" t="str">
        <x:f>IF(A75="","",SUMIFS('REQUESTS'!$I$11:$I$90,'REQUESTS'!$B$11:$B$90,A75,'REQUESTS'!$E$11:$E$90,D75,'REQUESTS'!$J$11:$J$90,"Approved"))</x:f>
      </x:c>
      <x:c r="H75" s="68" t="str">
        <x:f>IF(A75="","",SUMIFS('REQUESTS'!$I$11:$I$90,'REQUESTS'!$B$11:$B$90,A75,'REQUESTS'!$E$11:$E$90,D75,'REQUESTS'!$J$11:$J$90,"Pending"))</x:f>
      </x:c>
      <x:c r="I75" s="68" t="str">
        <x:f>IF(A75="","",E75+F75-G75)</x:f>
      </x:c>
      <x:c r="J75" s="68" t="str">
        <x:f>IF(A75="","",I75-H75)</x:f>
      </x:c>
      <x:c r="K75" s="55" t="str">
        <x:f>IF(A75="","",IF(F75=0,"Not applicable",IF(J75&lt;0,"At Risk",IF(J75&lt;='SETUP'!$D$16,"Low","Healthy"))))</x:f>
      </x:c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26"/>
      <x:c r="B76" s="26"/>
      <x:c r="C76" s="26"/>
      <x:c r="D76" s="26"/>
      <x:c r="E76" s="29"/>
      <x:c r="F76" s="68" t="str">
        <x:f>IF(A76="","",IFERROR(INDEX('SETUP'!$K$11:$K$14,MATCH(D76,'SETUP'!$J$11:$J$14,0))*INDEX('EMPLOYEES'!$G$11:$G$60,MATCH(A76,'EMPLOYEES'!$A$11:$A$60,0)),0))</x:f>
      </x:c>
      <x:c r="G76" s="68" t="str">
        <x:f>IF(A76="","",SUMIFS('REQUESTS'!$I$11:$I$90,'REQUESTS'!$B$11:$B$90,A76,'REQUESTS'!$E$11:$E$90,D76,'REQUESTS'!$J$11:$J$90,"Approved"))</x:f>
      </x:c>
      <x:c r="H76" s="68" t="str">
        <x:f>IF(A76="","",SUMIFS('REQUESTS'!$I$11:$I$90,'REQUESTS'!$B$11:$B$90,A76,'REQUESTS'!$E$11:$E$90,D76,'REQUESTS'!$J$11:$J$90,"Pending"))</x:f>
      </x:c>
      <x:c r="I76" s="68" t="str">
        <x:f>IF(A76="","",E76+F76-G76)</x:f>
      </x:c>
      <x:c r="J76" s="68" t="str">
        <x:f>IF(A76="","",I76-H76)</x:f>
      </x:c>
      <x:c r="K76" s="55" t="str">
        <x:f>IF(A76="","",IF(F76=0,"Not applicable",IF(J76&lt;0,"At Risk",IF(J76&lt;='SETUP'!$D$16,"Low","Healthy"))))</x:f>
      </x:c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26"/>
      <x:c r="B77" s="26"/>
      <x:c r="C77" s="26"/>
      <x:c r="D77" s="26"/>
      <x:c r="E77" s="29"/>
      <x:c r="F77" s="68" t="str">
        <x:f>IF(A77="","",IFERROR(INDEX('SETUP'!$K$11:$K$14,MATCH(D77,'SETUP'!$J$11:$J$14,0))*INDEX('EMPLOYEES'!$G$11:$G$60,MATCH(A77,'EMPLOYEES'!$A$11:$A$60,0)),0))</x:f>
      </x:c>
      <x:c r="G77" s="68" t="str">
        <x:f>IF(A77="","",SUMIFS('REQUESTS'!$I$11:$I$90,'REQUESTS'!$B$11:$B$90,A77,'REQUESTS'!$E$11:$E$90,D77,'REQUESTS'!$J$11:$J$90,"Approved"))</x:f>
      </x:c>
      <x:c r="H77" s="68" t="str">
        <x:f>IF(A77="","",SUMIFS('REQUESTS'!$I$11:$I$90,'REQUESTS'!$B$11:$B$90,A77,'REQUESTS'!$E$11:$E$90,D77,'REQUESTS'!$J$11:$J$90,"Pending"))</x:f>
      </x:c>
      <x:c r="I77" s="68" t="str">
        <x:f>IF(A77="","",E77+F77-G77)</x:f>
      </x:c>
      <x:c r="J77" s="68" t="str">
        <x:f>IF(A77="","",I77-H77)</x:f>
      </x:c>
      <x:c r="K77" s="55" t="str">
        <x:f>IF(A77="","",IF(F77=0,"Not applicable",IF(J77&lt;0,"At Risk",IF(J77&lt;='SETUP'!$D$16,"Low","Healthy"))))</x:f>
      </x:c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26"/>
      <x:c r="B78" s="26"/>
      <x:c r="C78" s="26"/>
      <x:c r="D78" s="26"/>
      <x:c r="E78" s="29"/>
      <x:c r="F78" s="68" t="str">
        <x:f>IF(A78="","",IFERROR(INDEX('SETUP'!$K$11:$K$14,MATCH(D78,'SETUP'!$J$11:$J$14,0))*INDEX('EMPLOYEES'!$G$11:$G$60,MATCH(A78,'EMPLOYEES'!$A$11:$A$60,0)),0))</x:f>
      </x:c>
      <x:c r="G78" s="68" t="str">
        <x:f>IF(A78="","",SUMIFS('REQUESTS'!$I$11:$I$90,'REQUESTS'!$B$11:$B$90,A78,'REQUESTS'!$E$11:$E$90,D78,'REQUESTS'!$J$11:$J$90,"Approved"))</x:f>
      </x:c>
      <x:c r="H78" s="68" t="str">
        <x:f>IF(A78="","",SUMIFS('REQUESTS'!$I$11:$I$90,'REQUESTS'!$B$11:$B$90,A78,'REQUESTS'!$E$11:$E$90,D78,'REQUESTS'!$J$11:$J$90,"Pending"))</x:f>
      </x:c>
      <x:c r="I78" s="68" t="str">
        <x:f>IF(A78="","",E78+F78-G78)</x:f>
      </x:c>
      <x:c r="J78" s="68" t="str">
        <x:f>IF(A78="","",I78-H78)</x:f>
      </x:c>
      <x:c r="K78" s="55" t="str">
        <x:f>IF(A78="","",IF(F78=0,"Not applicable",IF(J78&lt;0,"At Risk",IF(J78&lt;='SETUP'!$D$16,"Low","Healthy"))))</x:f>
      </x:c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26"/>
      <x:c r="B79" s="26"/>
      <x:c r="C79" s="26"/>
      <x:c r="D79" s="26"/>
      <x:c r="E79" s="29"/>
      <x:c r="F79" s="68" t="str">
        <x:f>IF(A79="","",IFERROR(INDEX('SETUP'!$K$11:$K$14,MATCH(D79,'SETUP'!$J$11:$J$14,0))*INDEX('EMPLOYEES'!$G$11:$G$60,MATCH(A79,'EMPLOYEES'!$A$11:$A$60,0)),0))</x:f>
      </x:c>
      <x:c r="G79" s="68" t="str">
        <x:f>IF(A79="","",SUMIFS('REQUESTS'!$I$11:$I$90,'REQUESTS'!$B$11:$B$90,A79,'REQUESTS'!$E$11:$E$90,D79,'REQUESTS'!$J$11:$J$90,"Approved"))</x:f>
      </x:c>
      <x:c r="H79" s="68" t="str">
        <x:f>IF(A79="","",SUMIFS('REQUESTS'!$I$11:$I$90,'REQUESTS'!$B$11:$B$90,A79,'REQUESTS'!$E$11:$E$90,D79,'REQUESTS'!$J$11:$J$90,"Pending"))</x:f>
      </x:c>
      <x:c r="I79" s="68" t="str">
        <x:f>IF(A79="","",E79+F79-G79)</x:f>
      </x:c>
      <x:c r="J79" s="68" t="str">
        <x:f>IF(A79="","",I79-H79)</x:f>
      </x:c>
      <x:c r="K79" s="55" t="str">
        <x:f>IF(A79="","",IF(F79=0,"Not applicable",IF(J79&lt;0,"At Risk",IF(J79&lt;='SETUP'!$D$16,"Low","Healthy"))))</x:f>
      </x:c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26"/>
      <x:c r="B80" s="26"/>
      <x:c r="C80" s="26"/>
      <x:c r="D80" s="26"/>
      <x:c r="E80" s="29"/>
      <x:c r="F80" s="68" t="str">
        <x:f>IF(A80="","",IFERROR(INDEX('SETUP'!$K$11:$K$14,MATCH(D80,'SETUP'!$J$11:$J$14,0))*INDEX('EMPLOYEES'!$G$11:$G$60,MATCH(A80,'EMPLOYEES'!$A$11:$A$60,0)),0))</x:f>
      </x:c>
      <x:c r="G80" s="68" t="str">
        <x:f>IF(A80="","",SUMIFS('REQUESTS'!$I$11:$I$90,'REQUESTS'!$B$11:$B$90,A80,'REQUESTS'!$E$11:$E$90,D80,'REQUESTS'!$J$11:$J$90,"Approved"))</x:f>
      </x:c>
      <x:c r="H80" s="68" t="str">
        <x:f>IF(A80="","",SUMIFS('REQUESTS'!$I$11:$I$90,'REQUESTS'!$B$11:$B$90,A80,'REQUESTS'!$E$11:$E$90,D80,'REQUESTS'!$J$11:$J$90,"Pending"))</x:f>
      </x:c>
      <x:c r="I80" s="68" t="str">
        <x:f>IF(A80="","",E80+F80-G80)</x:f>
      </x:c>
      <x:c r="J80" s="68" t="str">
        <x:f>IF(A80="","",I80-H80)</x:f>
      </x:c>
      <x:c r="K80" s="55" t="str">
        <x:f>IF(A80="","",IF(F80=0,"Not applicable",IF(J80&lt;0,"At Risk",IF(J80&lt;='SETUP'!$D$16,"Low","Healthy"))))</x:f>
      </x:c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61"/>
      <x:c r="B81" s="61"/>
      <x:c r="C81" s="61"/>
      <x:c r="D81" s="61"/>
      <x:c r="E81" s="69"/>
      <x:c r="F81" s="70" t="str">
        <x:f>IF(A81="","",IFERROR(INDEX('SETUP'!$K$11:$K$14,MATCH(D81,'SETUP'!$J$11:$J$14,0))*INDEX('EMPLOYEES'!$G$11:$G$60,MATCH(A81,'EMPLOYEES'!$A$11:$A$60,0)),0))</x:f>
      </x:c>
      <x:c r="G81" s="70" t="str">
        <x:f>IF(A81="","",SUMIFS('REQUESTS'!$I$11:$I$90,'REQUESTS'!$B$11:$B$90,A81,'REQUESTS'!$E$11:$E$90,D81,'REQUESTS'!$J$11:$J$90,"Approved"))</x:f>
      </x:c>
      <x:c r="H81" s="70" t="str">
        <x:f>IF(A81="","",SUMIFS('REQUESTS'!$I$11:$I$90,'REQUESTS'!$B$11:$B$90,A81,'REQUESTS'!$E$11:$E$90,D81,'REQUESTS'!$J$11:$J$90,"Pending"))</x:f>
      </x:c>
      <x:c r="I81" s="70" t="str">
        <x:f>IF(A81="","",E81+F81-G81)</x:f>
      </x:c>
      <x:c r="J81" s="70" t="str">
        <x:f>IF(A81="","",I81-H81)</x:f>
      </x:c>
      <x:c r="K81" s="64" t="str">
        <x:f>IF(A81="","",IF(F81=0,"Not applicable",IF(J81&lt;0,"At Risk",IF(J81&lt;='SETUP'!$D$16,"Low","Healthy"))))</x:f>
      </x:c>
    </x:row>
    <x:row r="82">
      <x:c r="A82" s="61"/>
      <x:c r="B82" s="61"/>
      <x:c r="C82" s="61"/>
      <x:c r="D82" s="61"/>
      <x:c r="E82" s="69"/>
      <x:c r="F82" s="70" t="str">
        <x:f>IF(A82="","",IFERROR(INDEX('SETUP'!$K$11:$K$14,MATCH(D82,'SETUP'!$J$11:$J$14,0))*INDEX('EMPLOYEES'!$G$11:$G$60,MATCH(A82,'EMPLOYEES'!$A$11:$A$60,0)),0))</x:f>
      </x:c>
      <x:c r="G82" s="70" t="str">
        <x:f>IF(A82="","",SUMIFS('REQUESTS'!$I$11:$I$90,'REQUESTS'!$B$11:$B$90,A82,'REQUESTS'!$E$11:$E$90,D82,'REQUESTS'!$J$11:$J$90,"Approved"))</x:f>
      </x:c>
      <x:c r="H82" s="70" t="str">
        <x:f>IF(A82="","",SUMIFS('REQUESTS'!$I$11:$I$90,'REQUESTS'!$B$11:$B$90,A82,'REQUESTS'!$E$11:$E$90,D82,'REQUESTS'!$J$11:$J$90,"Pending"))</x:f>
      </x:c>
      <x:c r="I82" s="70" t="str">
        <x:f>IF(A82="","",E82+F82-G82)</x:f>
      </x:c>
      <x:c r="J82" s="70" t="str">
        <x:f>IF(A82="","",I82-H82)</x:f>
      </x:c>
      <x:c r="K82" s="64" t="str">
        <x:f>IF(A82="","",IF(F82=0,"Not applicable",IF(J82&lt;0,"At Risk",IF(J82&lt;='SETUP'!$D$16,"Low","Healthy"))))</x:f>
      </x:c>
    </x:row>
    <x:row r="83">
      <x:c r="A83" s="61"/>
      <x:c r="B83" s="61"/>
      <x:c r="C83" s="61"/>
      <x:c r="D83" s="61"/>
      <x:c r="E83" s="69"/>
      <x:c r="F83" s="70" t="str">
        <x:f>IF(A83="","",IFERROR(INDEX('SETUP'!$K$11:$K$14,MATCH(D83,'SETUP'!$J$11:$J$14,0))*INDEX('EMPLOYEES'!$G$11:$G$60,MATCH(A83,'EMPLOYEES'!$A$11:$A$60,0)),0))</x:f>
      </x:c>
      <x:c r="G83" s="70" t="str">
        <x:f>IF(A83="","",SUMIFS('REQUESTS'!$I$11:$I$90,'REQUESTS'!$B$11:$B$90,A83,'REQUESTS'!$E$11:$E$90,D83,'REQUESTS'!$J$11:$J$90,"Approved"))</x:f>
      </x:c>
      <x:c r="H83" s="70" t="str">
        <x:f>IF(A83="","",SUMIFS('REQUESTS'!$I$11:$I$90,'REQUESTS'!$B$11:$B$90,A83,'REQUESTS'!$E$11:$E$90,D83,'REQUESTS'!$J$11:$J$90,"Pending"))</x:f>
      </x:c>
      <x:c r="I83" s="70" t="str">
        <x:f>IF(A83="","",E83+F83-G83)</x:f>
      </x:c>
      <x:c r="J83" s="70" t="str">
        <x:f>IF(A83="","",I83-H83)</x:f>
      </x:c>
      <x:c r="K83" s="64" t="str">
        <x:f>IF(A83="","",IF(F83=0,"Not applicable",IF(J83&lt;0,"At Risk",IF(J83&lt;='SETUP'!$D$16,"Low","Healthy"))))</x:f>
      </x:c>
    </x:row>
    <x:row r="84">
      <x:c r="A84" s="61"/>
      <x:c r="B84" s="61"/>
      <x:c r="C84" s="61"/>
      <x:c r="D84" s="61"/>
      <x:c r="E84" s="69"/>
      <x:c r="F84" s="70" t="str">
        <x:f>IF(A84="","",IFERROR(INDEX('SETUP'!$K$11:$K$14,MATCH(D84,'SETUP'!$J$11:$J$14,0))*INDEX('EMPLOYEES'!$G$11:$G$60,MATCH(A84,'EMPLOYEES'!$A$11:$A$60,0)),0))</x:f>
      </x:c>
      <x:c r="G84" s="70" t="str">
        <x:f>IF(A84="","",SUMIFS('REQUESTS'!$I$11:$I$90,'REQUESTS'!$B$11:$B$90,A84,'REQUESTS'!$E$11:$E$90,D84,'REQUESTS'!$J$11:$J$90,"Approved"))</x:f>
      </x:c>
      <x:c r="H84" s="70" t="str">
        <x:f>IF(A84="","",SUMIFS('REQUESTS'!$I$11:$I$90,'REQUESTS'!$B$11:$B$90,A84,'REQUESTS'!$E$11:$E$90,D84,'REQUESTS'!$J$11:$J$90,"Pending"))</x:f>
      </x:c>
      <x:c r="I84" s="70" t="str">
        <x:f>IF(A84="","",E84+F84-G84)</x:f>
      </x:c>
      <x:c r="J84" s="70" t="str">
        <x:f>IF(A84="","",I84-H84)</x:f>
      </x:c>
      <x:c r="K84" s="64" t="str">
        <x:f>IF(A84="","",IF(F84=0,"Not applicable",IF(J84&lt;0,"At Risk",IF(J84&lt;='SETUP'!$D$16,"Low","Healthy"))))</x:f>
      </x:c>
    </x:row>
    <x:row r="85">
      <x:c r="A85" s="61"/>
      <x:c r="B85" s="61"/>
      <x:c r="C85" s="61"/>
      <x:c r="D85" s="61"/>
      <x:c r="E85" s="69"/>
      <x:c r="F85" s="70" t="str">
        <x:f>IF(A85="","",IFERROR(INDEX('SETUP'!$K$11:$K$14,MATCH(D85,'SETUP'!$J$11:$J$14,0))*INDEX('EMPLOYEES'!$G$11:$G$60,MATCH(A85,'EMPLOYEES'!$A$11:$A$60,0)),0))</x:f>
      </x:c>
      <x:c r="G85" s="70" t="str">
        <x:f>IF(A85="","",SUMIFS('REQUESTS'!$I$11:$I$90,'REQUESTS'!$B$11:$B$90,A85,'REQUESTS'!$E$11:$E$90,D85,'REQUESTS'!$J$11:$J$90,"Approved"))</x:f>
      </x:c>
      <x:c r="H85" s="70" t="str">
        <x:f>IF(A85="","",SUMIFS('REQUESTS'!$I$11:$I$90,'REQUESTS'!$B$11:$B$90,A85,'REQUESTS'!$E$11:$E$90,D85,'REQUESTS'!$J$11:$J$90,"Pending"))</x:f>
      </x:c>
      <x:c r="I85" s="70" t="str">
        <x:f>IF(A85="","",E85+F85-G85)</x:f>
      </x:c>
      <x:c r="J85" s="70" t="str">
        <x:f>IF(A85="","",I85-H85)</x:f>
      </x:c>
      <x:c r="K85" s="64" t="str">
        <x:f>IF(A85="","",IF(F85=0,"Not applicable",IF(J85&lt;0,"At Risk",IF(J85&lt;='SETUP'!$D$16,"Low","Healthy"))))</x:f>
      </x:c>
    </x:row>
    <x:row r="86">
      <x:c r="A86" s="61"/>
      <x:c r="B86" s="61"/>
      <x:c r="C86" s="61"/>
      <x:c r="D86" s="61"/>
      <x:c r="E86" s="69"/>
      <x:c r="F86" s="70" t="str">
        <x:f>IF(A86="","",IFERROR(INDEX('SETUP'!$K$11:$K$14,MATCH(D86,'SETUP'!$J$11:$J$14,0))*INDEX('EMPLOYEES'!$G$11:$G$60,MATCH(A86,'EMPLOYEES'!$A$11:$A$60,0)),0))</x:f>
      </x:c>
      <x:c r="G86" s="70" t="str">
        <x:f>IF(A86="","",SUMIFS('REQUESTS'!$I$11:$I$90,'REQUESTS'!$B$11:$B$90,A86,'REQUESTS'!$E$11:$E$90,D86,'REQUESTS'!$J$11:$J$90,"Approved"))</x:f>
      </x:c>
      <x:c r="H86" s="70" t="str">
        <x:f>IF(A86="","",SUMIFS('REQUESTS'!$I$11:$I$90,'REQUESTS'!$B$11:$B$90,A86,'REQUESTS'!$E$11:$E$90,D86,'REQUESTS'!$J$11:$J$90,"Pending"))</x:f>
      </x:c>
      <x:c r="I86" s="70" t="str">
        <x:f>IF(A86="","",E86+F86-G86)</x:f>
      </x:c>
      <x:c r="J86" s="70" t="str">
        <x:f>IF(A86="","",I86-H86)</x:f>
      </x:c>
      <x:c r="K86" s="64" t="str">
        <x:f>IF(A86="","",IF(F86=0,"Not applicable",IF(J86&lt;0,"At Risk",IF(J86&lt;='SETUP'!$D$16,"Low","Healthy"))))</x:f>
      </x:c>
    </x:row>
    <x:row r="87">
      <x:c r="A87" s="61"/>
      <x:c r="B87" s="61"/>
      <x:c r="C87" s="61"/>
      <x:c r="D87" s="61"/>
      <x:c r="E87" s="69"/>
      <x:c r="F87" s="70" t="str">
        <x:f>IF(A87="","",IFERROR(INDEX('SETUP'!$K$11:$K$14,MATCH(D87,'SETUP'!$J$11:$J$14,0))*INDEX('EMPLOYEES'!$G$11:$G$60,MATCH(A87,'EMPLOYEES'!$A$11:$A$60,0)),0))</x:f>
      </x:c>
      <x:c r="G87" s="70" t="str">
        <x:f>IF(A87="","",SUMIFS('REQUESTS'!$I$11:$I$90,'REQUESTS'!$B$11:$B$90,A87,'REQUESTS'!$E$11:$E$90,D87,'REQUESTS'!$J$11:$J$90,"Approved"))</x:f>
      </x:c>
      <x:c r="H87" s="70" t="str">
        <x:f>IF(A87="","",SUMIFS('REQUESTS'!$I$11:$I$90,'REQUESTS'!$B$11:$B$90,A87,'REQUESTS'!$E$11:$E$90,D87,'REQUESTS'!$J$11:$J$90,"Pending"))</x:f>
      </x:c>
      <x:c r="I87" s="70" t="str">
        <x:f>IF(A87="","",E87+F87-G87)</x:f>
      </x:c>
      <x:c r="J87" s="70" t="str">
        <x:f>IF(A87="","",I87-H87)</x:f>
      </x:c>
      <x:c r="K87" s="64" t="str">
        <x:f>IF(A87="","",IF(F87=0,"Not applicable",IF(J87&lt;0,"At Risk",IF(J87&lt;='SETUP'!$D$16,"Low","Healthy"))))</x:f>
      </x:c>
    </x:row>
    <x:row r="88">
      <x:c r="A88" s="61"/>
      <x:c r="B88" s="61"/>
      <x:c r="C88" s="61"/>
      <x:c r="D88" s="61"/>
      <x:c r="E88" s="69"/>
      <x:c r="F88" s="70" t="str">
        <x:f>IF(A88="","",IFERROR(INDEX('SETUP'!$K$11:$K$14,MATCH(D88,'SETUP'!$J$11:$J$14,0))*INDEX('EMPLOYEES'!$G$11:$G$60,MATCH(A88,'EMPLOYEES'!$A$11:$A$60,0)),0))</x:f>
      </x:c>
      <x:c r="G88" s="70" t="str">
        <x:f>IF(A88="","",SUMIFS('REQUESTS'!$I$11:$I$90,'REQUESTS'!$B$11:$B$90,A88,'REQUESTS'!$E$11:$E$90,D88,'REQUESTS'!$J$11:$J$90,"Approved"))</x:f>
      </x:c>
      <x:c r="H88" s="70" t="str">
        <x:f>IF(A88="","",SUMIFS('REQUESTS'!$I$11:$I$90,'REQUESTS'!$B$11:$B$90,A88,'REQUESTS'!$E$11:$E$90,D88,'REQUESTS'!$J$11:$J$90,"Pending"))</x:f>
      </x:c>
      <x:c r="I88" s="70" t="str">
        <x:f>IF(A88="","",E88+F88-G88)</x:f>
      </x:c>
      <x:c r="J88" s="70" t="str">
        <x:f>IF(A88="","",I88-H88)</x:f>
      </x:c>
      <x:c r="K88" s="64" t="str">
        <x:f>IF(A88="","",IF(F88=0,"Not applicable",IF(J88&lt;0,"At Risk",IF(J88&lt;='SETUP'!$D$16,"Low","Healthy"))))</x:f>
      </x:c>
    </x:row>
    <x:row r="89">
      <x:c r="A89" s="61"/>
      <x:c r="B89" s="61"/>
      <x:c r="C89" s="61"/>
      <x:c r="D89" s="61"/>
      <x:c r="E89" s="69"/>
      <x:c r="F89" s="70" t="str">
        <x:f>IF(A89="","",IFERROR(INDEX('SETUP'!$K$11:$K$14,MATCH(D89,'SETUP'!$J$11:$J$14,0))*INDEX('EMPLOYEES'!$G$11:$G$60,MATCH(A89,'EMPLOYEES'!$A$11:$A$60,0)),0))</x:f>
      </x:c>
      <x:c r="G89" s="70" t="str">
        <x:f>IF(A89="","",SUMIFS('REQUESTS'!$I$11:$I$90,'REQUESTS'!$B$11:$B$90,A89,'REQUESTS'!$E$11:$E$90,D89,'REQUESTS'!$J$11:$J$90,"Approved"))</x:f>
      </x:c>
      <x:c r="H89" s="70" t="str">
        <x:f>IF(A89="","",SUMIFS('REQUESTS'!$I$11:$I$90,'REQUESTS'!$B$11:$B$90,A89,'REQUESTS'!$E$11:$E$90,D89,'REQUESTS'!$J$11:$J$90,"Pending"))</x:f>
      </x:c>
      <x:c r="I89" s="70" t="str">
        <x:f>IF(A89="","",E89+F89-G89)</x:f>
      </x:c>
      <x:c r="J89" s="70" t="str">
        <x:f>IF(A89="","",I89-H89)</x:f>
      </x:c>
      <x:c r="K89" s="64" t="str">
        <x:f>IF(A89="","",IF(F89=0,"Not applicable",IF(J89&lt;0,"At Risk",IF(J89&lt;='SETUP'!$D$16,"Low","Healthy"))))</x:f>
      </x:c>
    </x:row>
    <x:row r="90">
      <x:c r="A90" s="62"/>
      <x:c r="B90" s="62"/>
      <x:c r="C90" s="62"/>
      <x:c r="D90" s="62"/>
      <x:c r="E90" s="71"/>
      <x:c r="F90" s="72" t="str">
        <x:f>IF(A90="","",IFERROR(INDEX('SETUP'!$K$11:$K$14,MATCH(D90,'SETUP'!$J$11:$J$14,0))*INDEX('EMPLOYEES'!$G$11:$G$60,MATCH(A90,'EMPLOYEES'!$A$11:$A$60,0)),0))</x:f>
      </x:c>
      <x:c r="G90" s="72" t="str">
        <x:f>IF(A90="","",SUMIFS('REQUESTS'!$I$11:$I$90,'REQUESTS'!$B$11:$B$90,A90,'REQUESTS'!$E$11:$E$90,D90,'REQUESTS'!$J$11:$J$90,"Approved"))</x:f>
      </x:c>
      <x:c r="H90" s="72" t="str">
        <x:f>IF(A90="","",SUMIFS('REQUESTS'!$I$11:$I$90,'REQUESTS'!$B$11:$B$90,A90,'REQUESTS'!$E$11:$E$90,D90,'REQUESTS'!$J$11:$J$90,"Pending"))</x:f>
      </x:c>
      <x:c r="I90" s="72" t="str">
        <x:f>IF(A90="","",E90+F90-G90)</x:f>
      </x:c>
      <x:c r="J90" s="72" t="str">
        <x:f>IF(A90="","",I90-H90)</x:f>
      </x:c>
      <x:c r="K90" s="65" t="str">
        <x:f>IF(A90="","",IF(F90=0,"Not applicable",IF(J90&lt;0,"At Risk",IF(J90&lt;='SETUP'!$D$16,"Low","Healthy"))))</x:f>
      </x:c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</x:mergeCells>
  <x:conditionalFormatting sqref="K11:K90">
    <x:cfRule type="cellIs" dxfId="4" priority="1" operator="equal">
      <x:formula>"At Risk"</x:formula>
    </x:cfRule>
    <x:cfRule type="cellIs" dxfId="5" priority="2" operator="equal">
      <x:formula>"Low"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2a04980d456c4a82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4" hidden="0" customWidth="1"/>
    <x:col min="8" max="8" width="3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</x:cols>
  <x:sheetData>
    <x:row r="1" ht="20" customHeight="1">
      <x:c r="A1" s="12" t="str">
        <x:v>Home</x:v>
      </x:c>
      <x:c r="B1" s="13" t="str">
        <x:v>Home</x:v>
      </x:c>
      <x:c r="C1" s="12" t="str">
        <x:v>Setup</x:v>
      </x:c>
      <x:c r="D1" s="13" t="str">
        <x:v>Setup</x:v>
      </x:c>
      <x:c r="E1" s="12" t="str">
        <x:v>Employees</x:v>
      </x:c>
      <x:c r="F1" s="13" t="str">
        <x:v>Employees</x:v>
      </x:c>
      <x:c r="G1" s="12" t="str">
        <x:v>Requests</x:v>
      </x:c>
      <x:c r="H1" s="13" t="str">
        <x:v>Requests</x:v>
      </x:c>
      <x:c r="I1" s="12" t="str">
        <x:v>Balances</x:v>
      </x:c>
      <x:c r="J1" s="13" t="str">
        <x:v>Balances</x:v>
      </x:c>
      <x:c r="K1" s="9" t="str">
        <x:v>Calendar</x:v>
      </x:c>
      <x:c r="L1" s="10" t="str">
        <x:v>Calendar</x:v>
      </x:c>
      <x:c r="M1" s="12" t="str">
        <x:v>Coverage</x:v>
      </x:c>
      <x:c r="N1" s="13" t="str">
        <x:v>Coverage</x:v>
      </x:c>
      <x:c r="O1" s="12" t="str">
        <x:v>Dashboard</x:v>
      </x:c>
      <x:c r="P1" s="13" t="str">
        <x:v>Dashboard</x:v>
      </x:c>
      <x:c r="Q1" s="12" t="str">
        <x:v>Audit</x:v>
      </x:c>
      <x:c r="R1" s="13" t="str">
        <x:v>Audit</x:v>
      </x:c>
      <x:c r="S1" s="6"/>
      <x:c r="T1" s="6"/>
    </x:row>
    <x:row r="2" ht="20" customHeight="1">
      <x:c r="A2" s="12" t="str">
        <x:v>Home</x:v>
      </x:c>
      <x:c r="B2" s="13" t="str">
        <x:v>Home</x:v>
      </x:c>
      <x:c r="C2" s="12" t="str">
        <x:v>Setup</x:v>
      </x:c>
      <x:c r="D2" s="13" t="str">
        <x:v>Setup</x:v>
      </x:c>
      <x:c r="E2" s="12" t="str">
        <x:v>Employees</x:v>
      </x:c>
      <x:c r="F2" s="13" t="str">
        <x:v>Employees</x:v>
      </x:c>
      <x:c r="G2" s="12" t="str">
        <x:v>Requests</x:v>
      </x:c>
      <x:c r="H2" s="13" t="str">
        <x:v>Requests</x:v>
      </x:c>
      <x:c r="I2" s="12" t="str">
        <x:v>Balances</x:v>
      </x:c>
      <x:c r="J2" s="13" t="str">
        <x:v>Balances</x:v>
      </x:c>
      <x:c r="K2" s="9" t="str">
        <x:v>Calendar</x:v>
      </x:c>
      <x:c r="L2" s="10" t="str">
        <x:v>Calendar</x:v>
      </x:c>
      <x:c r="M2" s="12" t="str">
        <x:v>Coverage</x:v>
      </x:c>
      <x:c r="N2" s="13" t="str">
        <x:v>Coverage</x:v>
      </x:c>
      <x:c r="O2" s="12" t="str">
        <x:v>Dashboard</x:v>
      </x:c>
      <x:c r="P2" s="13" t="str">
        <x:v>Dashboard</x:v>
      </x:c>
      <x:c r="Q2" s="12" t="str">
        <x:v>Audit</x:v>
      </x:c>
      <x:c r="R2" s="13" t="str">
        <x:v>Audit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MONTHLY VIEW</x:v>
      </x:c>
      <x:c r="B4" s="15" t="str">
        <x:v>MONTHLY VIEW</x:v>
      </x:c>
      <x:c r="C4" s="15" t="str">
        <x:v>MONTHLY VIEW</x:v>
      </x:c>
      <x:c r="D4" s="15" t="str">
        <x:v>MONTHLY VIEW</x:v>
      </x:c>
      <x:c r="E4" s="15" t="str">
        <x:v>MONTHLY VIEW</x:v>
      </x:c>
      <x:c r="F4" s="15" t="str">
        <x:v>MONTHLY VIEW</x:v>
      </x:c>
      <x:c r="G4" s="15" t="str">
        <x:v>MONTHLY VIEW</x:v>
      </x:c>
      <x:c r="H4" s="15" t="str">
        <x:v>MONTHLY VIEW</x:v>
      </x:c>
      <x:c r="I4" s="15" t="str">
        <x:v>MONTHLY VIEW</x:v>
      </x:c>
      <x:c r="J4" s="15" t="str">
        <x:v>MONTHLY VIEW</x:v>
      </x:c>
      <x:c r="K4" s="15" t="str">
        <x:v>MONTHLY VIEW</x:v>
      </x:c>
      <x:c r="L4" s="15" t="str">
        <x:v>MONTHLY VIEW</x:v>
      </x:c>
      <x:c r="M4" s="15" t="str">
        <x:v>MONTHLY VIEW</x:v>
      </x:c>
      <x:c r="N4" s="15" t="str">
        <x:v>MONTHLY VIEW</x:v>
      </x:c>
      <x:c r="O4" s="15" t="str">
        <x:v>MONTHLY VIEW</x:v>
      </x:c>
      <x:c r="P4" s="15" t="str">
        <x:v>MONTHLY VIEW</x:v>
      </x:c>
      <x:c r="Q4" s="15" t="str">
        <x:v>MONTHLY VIEW</x:v>
      </x:c>
      <x:c r="R4" s="15" t="str">
        <x:v>MONTHLY VIEW</x:v>
      </x:c>
      <x:c r="S4" s="15" t="str">
        <x:v>MONTHLY VIEW</x:v>
      </x:c>
      <x:c r="T4" s="15" t="str">
        <x:v>MONTHLY VIEW</x:v>
      </x:c>
    </x:row>
    <x:row r="5" ht="24" customHeight="1">
      <x:c r="A5" s="17" t="str">
        <x:v>Team Leave Calendar</x:v>
      </x:c>
      <x:c r="B5" s="17" t="str">
        <x:v>Team Leave Calendar</x:v>
      </x:c>
      <x:c r="C5" s="17" t="str">
        <x:v>Team Leave Calendar</x:v>
      </x:c>
      <x:c r="D5" s="17" t="str">
        <x:v>Team Leave Calendar</x:v>
      </x:c>
      <x:c r="E5" s="17" t="str">
        <x:v>Team Leave Calendar</x:v>
      </x:c>
      <x:c r="F5" s="17" t="str">
        <x:v>Team Leave Calendar</x:v>
      </x:c>
      <x:c r="G5" s="17" t="str">
        <x:v>Team Leave Calendar</x:v>
      </x:c>
      <x:c r="H5" s="17" t="str">
        <x:v>Team Leave Calendar</x:v>
      </x:c>
      <x:c r="I5" s="17" t="str">
        <x:v>Team Leave Calendar</x:v>
      </x:c>
      <x:c r="J5" s="17" t="str">
        <x:v>Team Leave Calendar</x:v>
      </x:c>
      <x:c r="K5" s="17" t="str">
        <x:v>Team Leave Calendar</x:v>
      </x:c>
      <x:c r="L5" s="17" t="str">
        <x:v>Team Leave Calendar</x:v>
      </x:c>
      <x:c r="M5" s="17" t="str">
        <x:v>Team Leave Calendar</x:v>
      </x:c>
      <x:c r="N5" s="17" t="str">
        <x:v>Team Leave Calendar</x:v>
      </x:c>
      <x:c r="O5" s="17" t="str">
        <x:v>Team Leave Calendar</x:v>
      </x:c>
      <x:c r="P5" s="17" t="str">
        <x:v>Team Leave Calendar</x:v>
      </x:c>
      <x:c r="Q5" s="17" t="str">
        <x:v>Team Leave Calendar</x:v>
      </x:c>
      <x:c r="R5" s="17" t="str">
        <x:v>Team Leave Calendar</x:v>
      </x:c>
      <x:c r="S5" s="17" t="str">
        <x:v>Team Leave Calendar</x:v>
      </x:c>
      <x:c r="T5" s="17" t="str">
        <x:v>Team Leave Calendar</x:v>
      </x:c>
    </x:row>
    <x:row r="6" ht="24" customHeight="1">
      <x:c r="A6" s="18" t="str">
        <x:v>Team Leave Calendar</x:v>
      </x:c>
      <x:c r="B6" s="18" t="str">
        <x:v>Team Leave Calendar</x:v>
      </x:c>
      <x:c r="C6" s="18" t="str">
        <x:v>Team Leave Calendar</x:v>
      </x:c>
      <x:c r="D6" s="18" t="str">
        <x:v>Team Leave Calendar</x:v>
      </x:c>
      <x:c r="E6" s="18" t="str">
        <x:v>Team Leave Calendar</x:v>
      </x:c>
      <x:c r="F6" s="18" t="str">
        <x:v>Team Leave Calendar</x:v>
      </x:c>
      <x:c r="G6" s="18" t="str">
        <x:v>Team Leave Calendar</x:v>
      </x:c>
      <x:c r="H6" s="18" t="str">
        <x:v>Team Leave Calendar</x:v>
      </x:c>
      <x:c r="I6" s="18" t="str">
        <x:v>Team Leave Calendar</x:v>
      </x:c>
      <x:c r="J6" s="18" t="str">
        <x:v>Team Leave Calendar</x:v>
      </x:c>
      <x:c r="K6" s="18" t="str">
        <x:v>Team Leave Calendar</x:v>
      </x:c>
      <x:c r="L6" s="18" t="str">
        <x:v>Team Leave Calendar</x:v>
      </x:c>
      <x:c r="M6" s="18" t="str">
        <x:v>Team Leave Calendar</x:v>
      </x:c>
      <x:c r="N6" s="18" t="str">
        <x:v>Team Leave Calendar</x:v>
      </x:c>
      <x:c r="O6" s="18" t="str">
        <x:v>Team Leave Calendar</x:v>
      </x:c>
      <x:c r="P6" s="18" t="str">
        <x:v>Team Leave Calendar</x:v>
      </x:c>
      <x:c r="Q6" s="18" t="str">
        <x:v>Team Leave Calendar</x:v>
      </x:c>
      <x:c r="R6" s="18" t="str">
        <x:v>Team Leave Calendar</x:v>
      </x:c>
      <x:c r="S6" s="18" t="str">
        <x:v>Team Leave Calendar</x:v>
      </x:c>
      <x:c r="T6" s="18" t="str">
        <x:v>Team Leave Calendar</x:v>
      </x:c>
    </x:row>
    <x:row r="7" ht="18" customHeight="1">
      <x:c r="A7" s="20" t="str">
        <x:v>Review approved and pending absences day by day for the selected month.</x:v>
      </x:c>
      <x:c r="B7" s="20" t="str">
        <x:v>Review approved and pending absences day by day for the selected month.</x:v>
      </x:c>
      <x:c r="C7" s="20" t="str">
        <x:v>Review approved and pending absences day by day for the selected month.</x:v>
      </x:c>
      <x:c r="D7" s="20" t="str">
        <x:v>Review approved and pending absences day by day for the selected month.</x:v>
      </x:c>
      <x:c r="E7" s="20" t="str">
        <x:v>Review approved and pending absences day by day for the selected month.</x:v>
      </x:c>
      <x:c r="F7" s="20" t="str">
        <x:v>Review approved and pending absences day by day for the selected month.</x:v>
      </x:c>
      <x:c r="G7" s="20" t="str">
        <x:v>Review approved and pending absences day by day for the selected month.</x:v>
      </x:c>
      <x:c r="H7" s="20" t="str">
        <x:v>Review approved and pending absences day by day for the selected month.</x:v>
      </x:c>
      <x:c r="I7" s="20" t="str">
        <x:v>Review approved and pending absences day by day for the selected month.</x:v>
      </x:c>
      <x:c r="J7" s="20" t="str">
        <x:v>Review approved and pending absences day by day for the selected month.</x:v>
      </x:c>
      <x:c r="K7" s="20" t="str">
        <x:v>Review approved and pending absences day by day for the selected month.</x:v>
      </x:c>
      <x:c r="L7" s="20" t="str">
        <x:v>Review approved and pending absences day by day for the selected month.</x:v>
      </x:c>
      <x:c r="M7" s="20" t="str">
        <x:v>Review approved and pending absences day by day for the selected month.</x:v>
      </x:c>
      <x:c r="N7" s="20" t="str">
        <x:v>Review approved and pending absences day by day for the selected month.</x:v>
      </x:c>
      <x:c r="O7" s="20" t="str">
        <x:v>Review approved and pending absences day by day for the selected month.</x:v>
      </x:c>
      <x:c r="P7" s="20" t="str">
        <x:v>Review approved and pending absences day by day for the selected month.</x:v>
      </x:c>
      <x:c r="Q7" s="20" t="str">
        <x:v>Review approved and pending absences day by day for the selected month.</x:v>
      </x:c>
      <x:c r="R7" s="20" t="str">
        <x:v>Review approved and pending absences day by day for the selected month.</x:v>
      </x:c>
      <x:c r="S7" s="20" t="str">
        <x:v>Review approved and pending absences day by day for the selected month.</x:v>
      </x:c>
      <x:c r="T7" s="20" t="str">
        <x:v>Review approved and pending absences day by day for the selected month.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22" t="str">
        <x:v>MONTHLY ABSENCE VIEW</x:v>
      </x:c>
      <x:c r="B9" s="22" t="str">
        <x:v>MONTHLY ABSENCE VIEW</x:v>
      </x:c>
      <x:c r="C9" s="22" t="str">
        <x:v>MONTHLY ABSENCE VIEW</x:v>
      </x:c>
      <x:c r="D9" s="22" t="str">
        <x:v>MONTHLY ABSENCE VIEW</x:v>
      </x:c>
      <x:c r="E9" s="22" t="str">
        <x:v>MONTHLY ABSENCE VIEW</x:v>
      </x:c>
      <x:c r="F9" s="22" t="str">
        <x:v>MONTHLY ABSENCE VIEW</x:v>
      </x:c>
      <x:c r="G9" s="22" t="str">
        <x:v>MONTHLY ABSENCE VIEW</x:v>
      </x:c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Date</x:v>
      </x:c>
      <x:c r="B10" s="33" t="str">
        <x:v>Day</x:v>
      </x:c>
      <x:c r="C10" s="33" t="str">
        <x:v>Approved requests</x:v>
      </x:c>
      <x:c r="D10" s="33" t="str">
        <x:v>Pending requests</x:v>
      </x:c>
      <x:c r="E10" s="33" t="str">
        <x:v>People available</x:v>
      </x:c>
      <x:c r="F10" s="33" t="str">
        <x:v>Coverage status</x:v>
      </x:c>
      <x:c r="G10" s="33" t="str">
        <x:v>Decision note</x:v>
      </x:c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76" t="n">
        <x:f>'SETUP'!$D$14+0</x:f>
        <x:v>46327</x:v>
      </x:c>
      <x:c r="B11" s="55" t="str">
        <x:f>IF(MONTH(A11)&lt;&gt;MONTH('SETUP'!$D$14),"",CHOOSE(WEEKDAY(A11,2),"Mon","Tue","Wed","Thu","Fri","Sat","Sun"))</x:f>
        <x:v>Sun</x:v>
      </x:c>
      <x:c r="C11" s="55" t="n">
        <x:f>IF(B11="","",COUNTIFS('REQUESTS'!$F$11:$F$90,"&lt;="&amp;A11,'REQUESTS'!$G$11:$G$90,"&gt;="&amp;A11,'REQUESTS'!$J$11:$J$90,"Approved"))</x:f>
        <x:v>0</x:v>
      </x:c>
      <x:c r="D11" s="55" t="n">
        <x:f>IF(B11="","",COUNTIFS('REQUESTS'!$F$11:$F$90,"&lt;="&amp;A11,'REQUESTS'!$G$11:$G$90,"&gt;="&amp;A11,'REQUESTS'!$J$11:$J$90,"Pending"))</x:f>
        <x:v>0</x:v>
      </x:c>
      <x:c r="E11" s="55" t="n">
        <x:f>IF(B11="","",COUNTIF('EMPLOYEES'!$F$11:$F$60,"Active")-C11)</x:f>
        <x:v>8</x:v>
      </x:c>
      <x:c r="F11" s="55" t="str">
        <x:f>IF(B11="","",IF(WEEKDAY(A11,2)&gt;5,"Weekend",IF(C11&gt;=COUNTIF('EMPLOYEES'!$F$11:$F$60,"Active"),"At Risk","Covered")))</x:f>
        <x:v>Weekend</x:v>
      </x:c>
      <x:c r="G11" s="55" t="str">
        <x:f>IF(B11="","",IF(D11&gt;0,"Pending",IF(C11&gt;0,"Approved","")))</x:f>
      </x:c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</x:row>
    <x:row r="12">
      <x:c r="A12" s="76" t="n">
        <x:f>'SETUP'!$D$14+1</x:f>
        <x:v>46328</x:v>
      </x:c>
      <x:c r="B12" s="55" t="str">
        <x:f>IF(MONTH(A12)&lt;&gt;MONTH('SETUP'!$D$14),"",CHOOSE(WEEKDAY(A12,2),"Mon","Tue","Wed","Thu","Fri","Sat","Sun"))</x:f>
        <x:v>Mon</x:v>
      </x:c>
      <x:c r="C12" s="55" t="n">
        <x:f>IF(B12="","",COUNTIFS('REQUESTS'!$F$11:$F$90,"&lt;="&amp;A12,'REQUESTS'!$G$11:$G$90,"&gt;="&amp;A12,'REQUESTS'!$J$11:$J$90,"Approved"))</x:f>
        <x:v>0</x:v>
      </x:c>
      <x:c r="D12" s="55" t="n">
        <x:f>IF(B12="","",COUNTIFS('REQUESTS'!$F$11:$F$90,"&lt;="&amp;A12,'REQUESTS'!$G$11:$G$90,"&gt;="&amp;A12,'REQUESTS'!$J$11:$J$90,"Pending"))</x:f>
        <x:v>0</x:v>
      </x:c>
      <x:c r="E12" s="55" t="n">
        <x:f>IF(B12="","",COUNTIF('EMPLOYEES'!$F$11:$F$60,"Active")-C12)</x:f>
        <x:v>8</x:v>
      </x:c>
      <x:c r="F12" s="55" t="str">
        <x:f>IF(B12="","",IF(WEEKDAY(A12,2)&gt;5,"Weekend",IF(C12&gt;=COUNTIF('EMPLOYEES'!$F$11:$F$60,"Active"),"At Risk","Covered")))</x:f>
        <x:v>Covered</x:v>
      </x:c>
      <x:c r="G12" s="55" t="str">
        <x:f>IF(B12="","",IF(D12&gt;0,"Pending",IF(C12&gt;0,"Approved","")))</x:f>
      </x:c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</x:row>
    <x:row r="13">
      <x:c r="A13" s="76" t="n">
        <x:f>'SETUP'!$D$14+2</x:f>
        <x:v>46329</x:v>
      </x:c>
      <x:c r="B13" s="55" t="str">
        <x:f>IF(MONTH(A13)&lt;&gt;MONTH('SETUP'!$D$14),"",CHOOSE(WEEKDAY(A13,2),"Mon","Tue","Wed","Thu","Fri","Sat","Sun"))</x:f>
        <x:v>Tue</x:v>
      </x:c>
      <x:c r="C13" s="55" t="n">
        <x:f>IF(B13="","",COUNTIFS('REQUESTS'!$F$11:$F$90,"&lt;="&amp;A13,'REQUESTS'!$G$11:$G$90,"&gt;="&amp;A13,'REQUESTS'!$J$11:$J$90,"Approved"))</x:f>
        <x:v>0</x:v>
      </x:c>
      <x:c r="D13" s="55" t="n">
        <x:f>IF(B13="","",COUNTIFS('REQUESTS'!$F$11:$F$90,"&lt;="&amp;A13,'REQUESTS'!$G$11:$G$90,"&gt;="&amp;A13,'REQUESTS'!$J$11:$J$90,"Pending"))</x:f>
        <x:v>0</x:v>
      </x:c>
      <x:c r="E13" s="55" t="n">
        <x:f>IF(B13="","",COUNTIF('EMPLOYEES'!$F$11:$F$60,"Active")-C13)</x:f>
        <x:v>8</x:v>
      </x:c>
      <x:c r="F13" s="55" t="str">
        <x:f>IF(B13="","",IF(WEEKDAY(A13,2)&gt;5,"Weekend",IF(C13&gt;=COUNTIF('EMPLOYEES'!$F$11:$F$60,"Active"),"At Risk","Covered")))</x:f>
        <x:v>Covered</x:v>
      </x:c>
      <x:c r="G13" s="55" t="str">
        <x:f>IF(B13="","",IF(D13&gt;0,"Pending",IF(C13&gt;0,"Approved","")))</x:f>
      </x:c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</x:row>
    <x:row r="14">
      <x:c r="A14" s="76" t="n">
        <x:f>'SETUP'!$D$14+3</x:f>
        <x:v>46330</x:v>
      </x:c>
      <x:c r="B14" s="55" t="str">
        <x:f>IF(MONTH(A14)&lt;&gt;MONTH('SETUP'!$D$14),"",CHOOSE(WEEKDAY(A14,2),"Mon","Tue","Wed","Thu","Fri","Sat","Sun"))</x:f>
        <x:v>Wed</x:v>
      </x:c>
      <x:c r="C14" s="55" t="n">
        <x:f>IF(B14="","",COUNTIFS('REQUESTS'!$F$11:$F$90,"&lt;="&amp;A14,'REQUESTS'!$G$11:$G$90,"&gt;="&amp;A14,'REQUESTS'!$J$11:$J$90,"Approved"))</x:f>
        <x:v>0</x:v>
      </x:c>
      <x:c r="D14" s="55" t="n">
        <x:f>IF(B14="","",COUNTIFS('REQUESTS'!$F$11:$F$90,"&lt;="&amp;A14,'REQUESTS'!$G$11:$G$90,"&gt;="&amp;A14,'REQUESTS'!$J$11:$J$90,"Pending"))</x:f>
        <x:v>0</x:v>
      </x:c>
      <x:c r="E14" s="55" t="n">
        <x:f>IF(B14="","",COUNTIF('EMPLOYEES'!$F$11:$F$60,"Active")-C14)</x:f>
        <x:v>8</x:v>
      </x:c>
      <x:c r="F14" s="55" t="str">
        <x:f>IF(B14="","",IF(WEEKDAY(A14,2)&gt;5,"Weekend",IF(C14&gt;=COUNTIF('EMPLOYEES'!$F$11:$F$60,"Active"),"At Risk","Covered")))</x:f>
        <x:v>Covered</x:v>
      </x:c>
      <x:c r="G14" s="55" t="str">
        <x:f>IF(B14="","",IF(D14&gt;0,"Pending",IF(C14&gt;0,"Approved","")))</x:f>
      </x:c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76" t="n">
        <x:f>'SETUP'!$D$14+4</x:f>
        <x:v>46331</x:v>
      </x:c>
      <x:c r="B15" s="55" t="str">
        <x:f>IF(MONTH(A15)&lt;&gt;MONTH('SETUP'!$D$14),"",CHOOSE(WEEKDAY(A15,2),"Mon","Tue","Wed","Thu","Fri","Sat","Sun"))</x:f>
        <x:v>Thu</x:v>
      </x:c>
      <x:c r="C15" s="55" t="n">
        <x:f>IF(B15="","",COUNTIFS('REQUESTS'!$F$11:$F$90,"&lt;="&amp;A15,'REQUESTS'!$G$11:$G$90,"&gt;="&amp;A15,'REQUESTS'!$J$11:$J$90,"Approved"))</x:f>
        <x:v>0</x:v>
      </x:c>
      <x:c r="D15" s="55" t="n">
        <x:f>IF(B15="","",COUNTIFS('REQUESTS'!$F$11:$F$90,"&lt;="&amp;A15,'REQUESTS'!$G$11:$G$90,"&gt;="&amp;A15,'REQUESTS'!$J$11:$J$90,"Pending"))</x:f>
        <x:v>0</x:v>
      </x:c>
      <x:c r="E15" s="55" t="n">
        <x:f>IF(B15="","",COUNTIF('EMPLOYEES'!$F$11:$F$60,"Active")-C15)</x:f>
        <x:v>8</x:v>
      </x:c>
      <x:c r="F15" s="55" t="str">
        <x:f>IF(B15="","",IF(WEEKDAY(A15,2)&gt;5,"Weekend",IF(C15&gt;=COUNTIF('EMPLOYEES'!$F$11:$F$60,"Active"),"At Risk","Covered")))</x:f>
        <x:v>Covered</x:v>
      </x:c>
      <x:c r="G15" s="55" t="str">
        <x:f>IF(B15="","",IF(D15&gt;0,"Pending",IF(C15&gt;0,"Approved","")))</x:f>
      </x:c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76" t="n">
        <x:f>'SETUP'!$D$14+5</x:f>
        <x:v>46332</x:v>
      </x:c>
      <x:c r="B16" s="55" t="str">
        <x:f>IF(MONTH(A16)&lt;&gt;MONTH('SETUP'!$D$14),"",CHOOSE(WEEKDAY(A16,2),"Mon","Tue","Wed","Thu","Fri","Sat","Sun"))</x:f>
        <x:v>Fri</x:v>
      </x:c>
      <x:c r="C16" s="55" t="n">
        <x:f>IF(B16="","",COUNTIFS('REQUESTS'!$F$11:$F$90,"&lt;="&amp;A16,'REQUESTS'!$G$11:$G$90,"&gt;="&amp;A16,'REQUESTS'!$J$11:$J$90,"Approved"))</x:f>
        <x:v>0</x:v>
      </x:c>
      <x:c r="D16" s="55" t="n">
        <x:f>IF(B16="","",COUNTIFS('REQUESTS'!$F$11:$F$90,"&lt;="&amp;A16,'REQUESTS'!$G$11:$G$90,"&gt;="&amp;A16,'REQUESTS'!$J$11:$J$90,"Pending"))</x:f>
        <x:v>0</x:v>
      </x:c>
      <x:c r="E16" s="55" t="n">
        <x:f>IF(B16="","",COUNTIF('EMPLOYEES'!$F$11:$F$60,"Active")-C16)</x:f>
        <x:v>8</x:v>
      </x:c>
      <x:c r="F16" s="55" t="str">
        <x:f>IF(B16="","",IF(WEEKDAY(A16,2)&gt;5,"Weekend",IF(C16&gt;=COUNTIF('EMPLOYEES'!$F$11:$F$60,"Active"),"At Risk","Covered")))</x:f>
        <x:v>Covered</x:v>
      </x:c>
      <x:c r="G16" s="55" t="str">
        <x:f>IF(B16="","",IF(D16&gt;0,"Pending",IF(C16&gt;0,"Approved","")))</x:f>
      </x:c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76" t="n">
        <x:f>'SETUP'!$D$14+6</x:f>
        <x:v>46333</x:v>
      </x:c>
      <x:c r="B17" s="55" t="str">
        <x:f>IF(MONTH(A17)&lt;&gt;MONTH('SETUP'!$D$14),"",CHOOSE(WEEKDAY(A17,2),"Mon","Tue","Wed","Thu","Fri","Sat","Sun"))</x:f>
        <x:v>Sat</x:v>
      </x:c>
      <x:c r="C17" s="55" t="n">
        <x:f>IF(B17="","",COUNTIFS('REQUESTS'!$F$11:$F$90,"&lt;="&amp;A17,'REQUESTS'!$G$11:$G$90,"&gt;="&amp;A17,'REQUESTS'!$J$11:$J$90,"Approved"))</x:f>
        <x:v>0</x:v>
      </x:c>
      <x:c r="D17" s="55" t="n">
        <x:f>IF(B17="","",COUNTIFS('REQUESTS'!$F$11:$F$90,"&lt;="&amp;A17,'REQUESTS'!$G$11:$G$90,"&gt;="&amp;A17,'REQUESTS'!$J$11:$J$90,"Pending"))</x:f>
        <x:v>0</x:v>
      </x:c>
      <x:c r="E17" s="55" t="n">
        <x:f>IF(B17="","",COUNTIF('EMPLOYEES'!$F$11:$F$60,"Active")-C17)</x:f>
        <x:v>8</x:v>
      </x:c>
      <x:c r="F17" s="55" t="str">
        <x:f>IF(B17="","",IF(WEEKDAY(A17,2)&gt;5,"Weekend",IF(C17&gt;=COUNTIF('EMPLOYEES'!$F$11:$F$60,"Active"),"At Risk","Covered")))</x:f>
        <x:v>Weekend</x:v>
      </x:c>
      <x:c r="G17" s="55" t="str">
        <x:f>IF(B17="","",IF(D17&gt;0,"Pending",IF(C17&gt;0,"Approved","")))</x:f>
      </x:c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76" t="n">
        <x:f>'SETUP'!$D$14+7</x:f>
        <x:v>46334</x:v>
      </x:c>
      <x:c r="B18" s="55" t="str">
        <x:f>IF(MONTH(A18)&lt;&gt;MONTH('SETUP'!$D$14),"",CHOOSE(WEEKDAY(A18,2),"Mon","Tue","Wed","Thu","Fri","Sat","Sun"))</x:f>
        <x:v>Sun</x:v>
      </x:c>
      <x:c r="C18" s="55" t="n">
        <x:f>IF(B18="","",COUNTIFS('REQUESTS'!$F$11:$F$90,"&lt;="&amp;A18,'REQUESTS'!$G$11:$G$90,"&gt;="&amp;A18,'REQUESTS'!$J$11:$J$90,"Approved"))</x:f>
        <x:v>0</x:v>
      </x:c>
      <x:c r="D18" s="55" t="n">
        <x:f>IF(B18="","",COUNTIFS('REQUESTS'!$F$11:$F$90,"&lt;="&amp;A18,'REQUESTS'!$G$11:$G$90,"&gt;="&amp;A18,'REQUESTS'!$J$11:$J$90,"Pending"))</x:f>
        <x:v>0</x:v>
      </x:c>
      <x:c r="E18" s="55" t="n">
        <x:f>IF(B18="","",COUNTIF('EMPLOYEES'!$F$11:$F$60,"Active")-C18)</x:f>
        <x:v>8</x:v>
      </x:c>
      <x:c r="F18" s="55" t="str">
        <x:f>IF(B18="","",IF(WEEKDAY(A18,2)&gt;5,"Weekend",IF(C18&gt;=COUNTIF('EMPLOYEES'!$F$11:$F$60,"Active"),"At Risk","Covered")))</x:f>
        <x:v>Weekend</x:v>
      </x:c>
      <x:c r="G18" s="55" t="str">
        <x:f>IF(B18="","",IF(D18&gt;0,"Pending",IF(C18&gt;0,"Approved","")))</x:f>
      </x:c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76" t="n">
        <x:f>'SETUP'!$D$14+8</x:f>
        <x:v>46335</x:v>
      </x:c>
      <x:c r="B19" s="55" t="str">
        <x:f>IF(MONTH(A19)&lt;&gt;MONTH('SETUP'!$D$14),"",CHOOSE(WEEKDAY(A19,2),"Mon","Tue","Wed","Thu","Fri","Sat","Sun"))</x:f>
        <x:v>Mon</x:v>
      </x:c>
      <x:c r="C19" s="55" t="n">
        <x:f>IF(B19="","",COUNTIFS('REQUESTS'!$F$11:$F$90,"&lt;="&amp;A19,'REQUESTS'!$G$11:$G$90,"&gt;="&amp;A19,'REQUESTS'!$J$11:$J$90,"Approved"))</x:f>
        <x:v>1</x:v>
      </x:c>
      <x:c r="D19" s="55" t="n">
        <x:f>IF(B19="","",COUNTIFS('REQUESTS'!$F$11:$F$90,"&lt;="&amp;A19,'REQUESTS'!$G$11:$G$90,"&gt;="&amp;A19,'REQUESTS'!$J$11:$J$90,"Pending"))</x:f>
        <x:v>0</x:v>
      </x:c>
      <x:c r="E19" s="55" t="n">
        <x:f>IF(B19="","",COUNTIF('EMPLOYEES'!$F$11:$F$60,"Active")-C19)</x:f>
        <x:v>7</x:v>
      </x:c>
      <x:c r="F19" s="55" t="str">
        <x:f>IF(B19="","",IF(WEEKDAY(A19,2)&gt;5,"Weekend",IF(C19&gt;=COUNTIF('EMPLOYEES'!$F$11:$F$60,"Active"),"At Risk","Covered")))</x:f>
        <x:v>Covered</x:v>
      </x:c>
      <x:c r="G19" s="55" t="str">
        <x:f>IF(B19="","",IF(D19&gt;0,"Pending",IF(C19&gt;0,"Approved","")))</x:f>
        <x:v>Approved</x:v>
      </x:c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76" t="n">
        <x:f>'SETUP'!$D$14+9</x:f>
        <x:v>46336</x:v>
      </x:c>
      <x:c r="B20" s="55" t="str">
        <x:f>IF(MONTH(A20)&lt;&gt;MONTH('SETUP'!$D$14),"",CHOOSE(WEEKDAY(A20,2),"Mon","Tue","Wed","Thu","Fri","Sat","Sun"))</x:f>
        <x:v>Tue</x:v>
      </x:c>
      <x:c r="C20" s="55" t="n">
        <x:f>IF(B20="","",COUNTIFS('REQUESTS'!$F$11:$F$90,"&lt;="&amp;A20,'REQUESTS'!$G$11:$G$90,"&gt;="&amp;A20,'REQUESTS'!$J$11:$J$90,"Approved"))</x:f>
        <x:v>1</x:v>
      </x:c>
      <x:c r="D20" s="55" t="n">
        <x:f>IF(B20="","",COUNTIFS('REQUESTS'!$F$11:$F$90,"&lt;="&amp;A20,'REQUESTS'!$G$11:$G$90,"&gt;="&amp;A20,'REQUESTS'!$J$11:$J$90,"Pending"))</x:f>
        <x:v>0</x:v>
      </x:c>
      <x:c r="E20" s="55" t="n">
        <x:f>IF(B20="","",COUNTIF('EMPLOYEES'!$F$11:$F$60,"Active")-C20)</x:f>
        <x:v>7</x:v>
      </x:c>
      <x:c r="F20" s="55" t="str">
        <x:f>IF(B20="","",IF(WEEKDAY(A20,2)&gt;5,"Weekend",IF(C20&gt;=COUNTIF('EMPLOYEES'!$F$11:$F$60,"Active"),"At Risk","Covered")))</x:f>
        <x:v>Covered</x:v>
      </x:c>
      <x:c r="G20" s="55" t="str">
        <x:f>IF(B20="","",IF(D20&gt;0,"Pending",IF(C20&gt;0,"Approved","")))</x:f>
        <x:v>Approved</x:v>
      </x:c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76" t="n">
        <x:f>'SETUP'!$D$14+10</x:f>
        <x:v>46337</x:v>
      </x:c>
      <x:c r="B21" s="55" t="str">
        <x:f>IF(MONTH(A21)&lt;&gt;MONTH('SETUP'!$D$14),"",CHOOSE(WEEKDAY(A21,2),"Mon","Tue","Wed","Thu","Fri","Sat","Sun"))</x:f>
        <x:v>Wed</x:v>
      </x:c>
      <x:c r="C21" s="55" t="n">
        <x:f>IF(B21="","",COUNTIFS('REQUESTS'!$F$11:$F$90,"&lt;="&amp;A21,'REQUESTS'!$G$11:$G$90,"&gt;="&amp;A21,'REQUESTS'!$J$11:$J$90,"Approved"))</x:f>
        <x:v>1</x:v>
      </x:c>
      <x:c r="D21" s="55" t="n">
        <x:f>IF(B21="","",COUNTIFS('REQUESTS'!$F$11:$F$90,"&lt;="&amp;A21,'REQUESTS'!$G$11:$G$90,"&gt;="&amp;A21,'REQUESTS'!$J$11:$J$90,"Pending"))</x:f>
        <x:v>0</x:v>
      </x:c>
      <x:c r="E21" s="55" t="n">
        <x:f>IF(B21="","",COUNTIF('EMPLOYEES'!$F$11:$F$60,"Active")-C21)</x:f>
        <x:v>7</x:v>
      </x:c>
      <x:c r="F21" s="55" t="str">
        <x:f>IF(B21="","",IF(WEEKDAY(A21,2)&gt;5,"Weekend",IF(C21&gt;=COUNTIF('EMPLOYEES'!$F$11:$F$60,"Active"),"At Risk","Covered")))</x:f>
        <x:v>Covered</x:v>
      </x:c>
      <x:c r="G21" s="55" t="str">
        <x:f>IF(B21="","",IF(D21&gt;0,"Pending",IF(C21&gt;0,"Approved","")))</x:f>
        <x:v>Approved</x:v>
      </x:c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76" t="n">
        <x:f>'SETUP'!$D$14+11</x:f>
        <x:v>46338</x:v>
      </x:c>
      <x:c r="B22" s="55" t="str">
        <x:f>IF(MONTH(A22)&lt;&gt;MONTH('SETUP'!$D$14),"",CHOOSE(WEEKDAY(A22,2),"Mon","Tue","Wed","Thu","Fri","Sat","Sun"))</x:f>
        <x:v>Thu</x:v>
      </x:c>
      <x:c r="C22" s="55" t="n">
        <x:f>IF(B22="","",COUNTIFS('REQUESTS'!$F$11:$F$90,"&lt;="&amp;A22,'REQUESTS'!$G$11:$G$90,"&gt;="&amp;A22,'REQUESTS'!$J$11:$J$90,"Approved"))</x:f>
        <x:v>0</x:v>
      </x:c>
      <x:c r="D22" s="55" t="n">
        <x:f>IF(B22="","",COUNTIFS('REQUESTS'!$F$11:$F$90,"&lt;="&amp;A22,'REQUESTS'!$G$11:$G$90,"&gt;="&amp;A22,'REQUESTS'!$J$11:$J$90,"Pending"))</x:f>
        <x:v>1</x:v>
      </x:c>
      <x:c r="E22" s="55" t="n">
        <x:f>IF(B22="","",COUNTIF('EMPLOYEES'!$F$11:$F$60,"Active")-C22)</x:f>
        <x:v>8</x:v>
      </x:c>
      <x:c r="F22" s="55" t="str">
        <x:f>IF(B22="","",IF(WEEKDAY(A22,2)&gt;5,"Weekend",IF(C22&gt;=COUNTIF('EMPLOYEES'!$F$11:$F$60,"Active"),"At Risk","Covered")))</x:f>
        <x:v>Covered</x:v>
      </x:c>
      <x:c r="G22" s="55" t="str">
        <x:f>IF(B22="","",IF(D22&gt;0,"Pending",IF(C22&gt;0,"Approved","")))</x:f>
        <x:v>Pending</x:v>
      </x:c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76" t="n">
        <x:f>'SETUP'!$D$14+12</x:f>
        <x:v>46339</x:v>
      </x:c>
      <x:c r="B23" s="55" t="str">
        <x:f>IF(MONTH(A23)&lt;&gt;MONTH('SETUP'!$D$14),"",CHOOSE(WEEKDAY(A23,2),"Mon","Tue","Wed","Thu","Fri","Sat","Sun"))</x:f>
        <x:v>Fri</x:v>
      </x:c>
      <x:c r="C23" s="55" t="n">
        <x:f>IF(B23="","",COUNTIFS('REQUESTS'!$F$11:$F$90,"&lt;="&amp;A23,'REQUESTS'!$G$11:$G$90,"&gt;="&amp;A23,'REQUESTS'!$J$11:$J$90,"Approved"))</x:f>
        <x:v>0</x:v>
      </x:c>
      <x:c r="D23" s="55" t="n">
        <x:f>IF(B23="","",COUNTIFS('REQUESTS'!$F$11:$F$90,"&lt;="&amp;A23,'REQUESTS'!$G$11:$G$90,"&gt;="&amp;A23,'REQUESTS'!$J$11:$J$90,"Pending"))</x:f>
        <x:v>0</x:v>
      </x:c>
      <x:c r="E23" s="55" t="n">
        <x:f>IF(B23="","",COUNTIF('EMPLOYEES'!$F$11:$F$60,"Active")-C23)</x:f>
        <x:v>8</x:v>
      </x:c>
      <x:c r="F23" s="55" t="str">
        <x:f>IF(B23="","",IF(WEEKDAY(A23,2)&gt;5,"Weekend",IF(C23&gt;=COUNTIF('EMPLOYEES'!$F$11:$F$60,"Active"),"At Risk","Covered")))</x:f>
        <x:v>Covered</x:v>
      </x:c>
      <x:c r="G23" s="55" t="str">
        <x:f>IF(B23="","",IF(D23&gt;0,"Pending",IF(C23&gt;0,"Approved","")))</x:f>
      </x:c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76" t="n">
        <x:f>'SETUP'!$D$14+13</x:f>
        <x:v>46340</x:v>
      </x:c>
      <x:c r="B24" s="55" t="str">
        <x:f>IF(MONTH(A24)&lt;&gt;MONTH('SETUP'!$D$14),"",CHOOSE(WEEKDAY(A24,2),"Mon","Tue","Wed","Thu","Fri","Sat","Sun"))</x:f>
        <x:v>Sat</x:v>
      </x:c>
      <x:c r="C24" s="55" t="n">
        <x:f>IF(B24="","",COUNTIFS('REQUESTS'!$F$11:$F$90,"&lt;="&amp;A24,'REQUESTS'!$G$11:$G$90,"&gt;="&amp;A24,'REQUESTS'!$J$11:$J$90,"Approved"))</x:f>
        <x:v>0</x:v>
      </x:c>
      <x:c r="D24" s="55" t="n">
        <x:f>IF(B24="","",COUNTIFS('REQUESTS'!$F$11:$F$90,"&lt;="&amp;A24,'REQUESTS'!$G$11:$G$90,"&gt;="&amp;A24,'REQUESTS'!$J$11:$J$90,"Pending"))</x:f>
        <x:v>0</x:v>
      </x:c>
      <x:c r="E24" s="55" t="n">
        <x:f>IF(B24="","",COUNTIF('EMPLOYEES'!$F$11:$F$60,"Active")-C24)</x:f>
        <x:v>8</x:v>
      </x:c>
      <x:c r="F24" s="55" t="str">
        <x:f>IF(B24="","",IF(WEEKDAY(A24,2)&gt;5,"Weekend",IF(C24&gt;=COUNTIF('EMPLOYEES'!$F$11:$F$60,"Active"),"At Risk","Covered")))</x:f>
        <x:v>Weekend</x:v>
      </x:c>
      <x:c r="G24" s="55" t="str">
        <x:f>IF(B24="","",IF(D24&gt;0,"Pending",IF(C24&gt;0,"Approved","")))</x:f>
      </x:c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76" t="n">
        <x:f>'SETUP'!$D$14+14</x:f>
        <x:v>46341</x:v>
      </x:c>
      <x:c r="B25" s="55" t="str">
        <x:f>IF(MONTH(A25)&lt;&gt;MONTH('SETUP'!$D$14),"",CHOOSE(WEEKDAY(A25,2),"Mon","Tue","Wed","Thu","Fri","Sat","Sun"))</x:f>
        <x:v>Sun</x:v>
      </x:c>
      <x:c r="C25" s="55" t="n">
        <x:f>IF(B25="","",COUNTIFS('REQUESTS'!$F$11:$F$90,"&lt;="&amp;A25,'REQUESTS'!$G$11:$G$90,"&gt;="&amp;A25,'REQUESTS'!$J$11:$J$90,"Approved"))</x:f>
        <x:v>0</x:v>
      </x:c>
      <x:c r="D25" s="55" t="n">
        <x:f>IF(B25="","",COUNTIFS('REQUESTS'!$F$11:$F$90,"&lt;="&amp;A25,'REQUESTS'!$G$11:$G$90,"&gt;="&amp;A25,'REQUESTS'!$J$11:$J$90,"Pending"))</x:f>
        <x:v>0</x:v>
      </x:c>
      <x:c r="E25" s="55" t="n">
        <x:f>IF(B25="","",COUNTIF('EMPLOYEES'!$F$11:$F$60,"Active")-C25)</x:f>
        <x:v>8</x:v>
      </x:c>
      <x:c r="F25" s="55" t="str">
        <x:f>IF(B25="","",IF(WEEKDAY(A25,2)&gt;5,"Weekend",IF(C25&gt;=COUNTIF('EMPLOYEES'!$F$11:$F$60,"Active"),"At Risk","Covered")))</x:f>
        <x:v>Weekend</x:v>
      </x:c>
      <x:c r="G25" s="55" t="str">
        <x:f>IF(B25="","",IF(D25&gt;0,"Pending",IF(C25&gt;0,"Approved","")))</x:f>
      </x:c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76" t="n">
        <x:f>'SETUP'!$D$14+15</x:f>
        <x:v>46342</x:v>
      </x:c>
      <x:c r="B26" s="55" t="str">
        <x:f>IF(MONTH(A26)&lt;&gt;MONTH('SETUP'!$D$14),"",CHOOSE(WEEKDAY(A26,2),"Mon","Tue","Wed","Thu","Fri","Sat","Sun"))</x:f>
        <x:v>Mon</x:v>
      </x:c>
      <x:c r="C26" s="55" t="n">
        <x:f>IF(B26="","",COUNTIFS('REQUESTS'!$F$11:$F$90,"&lt;="&amp;A26,'REQUESTS'!$G$11:$G$90,"&gt;="&amp;A26,'REQUESTS'!$J$11:$J$90,"Approved"))</x:f>
        <x:v>0</x:v>
      </x:c>
      <x:c r="D26" s="55" t="n">
        <x:f>IF(B26="","",COUNTIFS('REQUESTS'!$F$11:$F$90,"&lt;="&amp;A26,'REQUESTS'!$G$11:$G$90,"&gt;="&amp;A26,'REQUESTS'!$J$11:$J$90,"Pending"))</x:f>
        <x:v>1</x:v>
      </x:c>
      <x:c r="E26" s="55" t="n">
        <x:f>IF(B26="","",COUNTIF('EMPLOYEES'!$F$11:$F$60,"Active")-C26)</x:f>
        <x:v>8</x:v>
      </x:c>
      <x:c r="F26" s="55" t="str">
        <x:f>IF(B26="","",IF(WEEKDAY(A26,2)&gt;5,"Weekend",IF(C26&gt;=COUNTIF('EMPLOYEES'!$F$11:$F$60,"Active"),"At Risk","Covered")))</x:f>
        <x:v>Covered</x:v>
      </x:c>
      <x:c r="G26" s="55" t="str">
        <x:f>IF(B26="","",IF(D26&gt;0,"Pending",IF(C26&gt;0,"Approved","")))</x:f>
        <x:v>Pending</x:v>
      </x:c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76" t="n">
        <x:f>'SETUP'!$D$14+16</x:f>
        <x:v>46343</x:v>
      </x:c>
      <x:c r="B27" s="55" t="str">
        <x:f>IF(MONTH(A27)&lt;&gt;MONTH('SETUP'!$D$14),"",CHOOSE(WEEKDAY(A27,2),"Mon","Tue","Wed","Thu","Fri","Sat","Sun"))</x:f>
        <x:v>Tue</x:v>
      </x:c>
      <x:c r="C27" s="55" t="n">
        <x:f>IF(B27="","",COUNTIFS('REQUESTS'!$F$11:$F$90,"&lt;="&amp;A27,'REQUESTS'!$G$11:$G$90,"&gt;="&amp;A27,'REQUESTS'!$J$11:$J$90,"Approved"))</x:f>
        <x:v>0</x:v>
      </x:c>
      <x:c r="D27" s="55" t="n">
        <x:f>IF(B27="","",COUNTIFS('REQUESTS'!$F$11:$F$90,"&lt;="&amp;A27,'REQUESTS'!$G$11:$G$90,"&gt;="&amp;A27,'REQUESTS'!$J$11:$J$90,"Pending"))</x:f>
        <x:v>1</x:v>
      </x:c>
      <x:c r="E27" s="55" t="n">
        <x:f>IF(B27="","",COUNTIF('EMPLOYEES'!$F$11:$F$60,"Active")-C27)</x:f>
        <x:v>8</x:v>
      </x:c>
      <x:c r="F27" s="55" t="str">
        <x:f>IF(B27="","",IF(WEEKDAY(A27,2)&gt;5,"Weekend",IF(C27&gt;=COUNTIF('EMPLOYEES'!$F$11:$F$60,"Active"),"At Risk","Covered")))</x:f>
        <x:v>Covered</x:v>
      </x:c>
      <x:c r="G27" s="55" t="str">
        <x:f>IF(B27="","",IF(D27&gt;0,"Pending",IF(C27&gt;0,"Approved","")))</x:f>
        <x:v>Pending</x:v>
      </x:c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76" t="n">
        <x:f>'SETUP'!$D$14+17</x:f>
        <x:v>46344</x:v>
      </x:c>
      <x:c r="B28" s="55" t="str">
        <x:f>IF(MONTH(A28)&lt;&gt;MONTH('SETUP'!$D$14),"",CHOOSE(WEEKDAY(A28,2),"Mon","Tue","Wed","Thu","Fri","Sat","Sun"))</x:f>
        <x:v>Wed</x:v>
      </x:c>
      <x:c r="C28" s="55" t="n">
        <x:f>IF(B28="","",COUNTIFS('REQUESTS'!$F$11:$F$90,"&lt;="&amp;A28,'REQUESTS'!$G$11:$G$90,"&gt;="&amp;A28,'REQUESTS'!$J$11:$J$90,"Approved"))</x:f>
        <x:v>0</x:v>
      </x:c>
      <x:c r="D28" s="55" t="n">
        <x:f>IF(B28="","",COUNTIFS('REQUESTS'!$F$11:$F$90,"&lt;="&amp;A28,'REQUESTS'!$G$11:$G$90,"&gt;="&amp;A28,'REQUESTS'!$J$11:$J$90,"Pending"))</x:f>
        <x:v>1</x:v>
      </x:c>
      <x:c r="E28" s="55" t="n">
        <x:f>IF(B28="","",COUNTIF('EMPLOYEES'!$F$11:$F$60,"Active")-C28)</x:f>
        <x:v>8</x:v>
      </x:c>
      <x:c r="F28" s="55" t="str">
        <x:f>IF(B28="","",IF(WEEKDAY(A28,2)&gt;5,"Weekend",IF(C28&gt;=COUNTIF('EMPLOYEES'!$F$11:$F$60,"Active"),"At Risk","Covered")))</x:f>
        <x:v>Covered</x:v>
      </x:c>
      <x:c r="G28" s="55" t="str">
        <x:f>IF(B28="","",IF(D28&gt;0,"Pending",IF(C28&gt;0,"Approved","")))</x:f>
        <x:v>Pending</x:v>
      </x:c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76" t="n">
        <x:f>'SETUP'!$D$14+18</x:f>
        <x:v>46345</x:v>
      </x:c>
      <x:c r="B29" s="55" t="str">
        <x:f>IF(MONTH(A29)&lt;&gt;MONTH('SETUP'!$D$14),"",CHOOSE(WEEKDAY(A29,2),"Mon","Tue","Wed","Thu","Fri","Sat","Sun"))</x:f>
        <x:v>Thu</x:v>
      </x:c>
      <x:c r="C29" s="55" t="n">
        <x:f>IF(B29="","",COUNTIFS('REQUESTS'!$F$11:$F$90,"&lt;="&amp;A29,'REQUESTS'!$G$11:$G$90,"&gt;="&amp;A29,'REQUESTS'!$J$11:$J$90,"Approved"))</x:f>
        <x:v>0</x:v>
      </x:c>
      <x:c r="D29" s="55" t="n">
        <x:f>IF(B29="","",COUNTIFS('REQUESTS'!$F$11:$F$90,"&lt;="&amp;A29,'REQUESTS'!$G$11:$G$90,"&gt;="&amp;A29,'REQUESTS'!$J$11:$J$90,"Pending"))</x:f>
        <x:v>0</x:v>
      </x:c>
      <x:c r="E29" s="55" t="n">
        <x:f>IF(B29="","",COUNTIF('EMPLOYEES'!$F$11:$F$60,"Active")-C29)</x:f>
        <x:v>8</x:v>
      </x:c>
      <x:c r="F29" s="55" t="str">
        <x:f>IF(B29="","",IF(WEEKDAY(A29,2)&gt;5,"Weekend",IF(C29&gt;=COUNTIF('EMPLOYEES'!$F$11:$F$60,"Active"),"At Risk","Covered")))</x:f>
        <x:v>Covered</x:v>
      </x:c>
      <x:c r="G29" s="55" t="str">
        <x:f>IF(B29="","",IF(D29&gt;0,"Pending",IF(C29&gt;0,"Approved","")))</x:f>
      </x:c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76" t="n">
        <x:f>'SETUP'!$D$14+19</x:f>
        <x:v>46346</x:v>
      </x:c>
      <x:c r="B30" s="55" t="str">
        <x:f>IF(MONTH(A30)&lt;&gt;MONTH('SETUP'!$D$14),"",CHOOSE(WEEKDAY(A30,2),"Mon","Tue","Wed","Thu","Fri","Sat","Sun"))</x:f>
        <x:v>Fri</x:v>
      </x:c>
      <x:c r="C30" s="55" t="n">
        <x:f>IF(B30="","",COUNTIFS('REQUESTS'!$F$11:$F$90,"&lt;="&amp;A30,'REQUESTS'!$G$11:$G$90,"&gt;="&amp;A30,'REQUESTS'!$J$11:$J$90,"Approved"))</x:f>
        <x:v>0</x:v>
      </x:c>
      <x:c r="D30" s="55" t="n">
        <x:f>IF(B30="","",COUNTIFS('REQUESTS'!$F$11:$F$90,"&lt;="&amp;A30,'REQUESTS'!$G$11:$G$90,"&gt;="&amp;A30,'REQUESTS'!$J$11:$J$90,"Pending"))</x:f>
        <x:v>0</x:v>
      </x:c>
      <x:c r="E30" s="55" t="n">
        <x:f>IF(B30="","",COUNTIF('EMPLOYEES'!$F$11:$F$60,"Active")-C30)</x:f>
        <x:v>8</x:v>
      </x:c>
      <x:c r="F30" s="55" t="str">
        <x:f>IF(B30="","",IF(WEEKDAY(A30,2)&gt;5,"Weekend",IF(C30&gt;=COUNTIF('EMPLOYEES'!$F$11:$F$60,"Active"),"At Risk","Covered")))</x:f>
        <x:v>Covered</x:v>
      </x:c>
      <x:c r="G30" s="55" t="str">
        <x:f>IF(B30="","",IF(D30&gt;0,"Pending",IF(C30&gt;0,"Approved","")))</x:f>
      </x:c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76" t="n">
        <x:f>'SETUP'!$D$14+20</x:f>
        <x:v>46347</x:v>
      </x:c>
      <x:c r="B31" s="55" t="str">
        <x:f>IF(MONTH(A31)&lt;&gt;MONTH('SETUP'!$D$14),"",CHOOSE(WEEKDAY(A31,2),"Mon","Tue","Wed","Thu","Fri","Sat","Sun"))</x:f>
        <x:v>Sat</x:v>
      </x:c>
      <x:c r="C31" s="55" t="n">
        <x:f>IF(B31="","",COUNTIFS('REQUESTS'!$F$11:$F$90,"&lt;="&amp;A31,'REQUESTS'!$G$11:$G$90,"&gt;="&amp;A31,'REQUESTS'!$J$11:$J$90,"Approved"))</x:f>
        <x:v>0</x:v>
      </x:c>
      <x:c r="D31" s="55" t="n">
        <x:f>IF(B31="","",COUNTIFS('REQUESTS'!$F$11:$F$90,"&lt;="&amp;A31,'REQUESTS'!$G$11:$G$90,"&gt;="&amp;A31,'REQUESTS'!$J$11:$J$90,"Pending"))</x:f>
        <x:v>0</x:v>
      </x:c>
      <x:c r="E31" s="55" t="n">
        <x:f>IF(B31="","",COUNTIF('EMPLOYEES'!$F$11:$F$60,"Active")-C31)</x:f>
        <x:v>8</x:v>
      </x:c>
      <x:c r="F31" s="55" t="str">
        <x:f>IF(B31="","",IF(WEEKDAY(A31,2)&gt;5,"Weekend",IF(C31&gt;=COUNTIF('EMPLOYEES'!$F$11:$F$60,"Active"),"At Risk","Covered")))</x:f>
        <x:v>Weekend</x:v>
      </x:c>
      <x:c r="G31" s="55" t="str">
        <x:f>IF(B31="","",IF(D31&gt;0,"Pending",IF(C31&gt;0,"Approved","")))</x:f>
      </x:c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76" t="n">
        <x:f>'SETUP'!$D$14+21</x:f>
        <x:v>46348</x:v>
      </x:c>
      <x:c r="B32" s="55" t="str">
        <x:f>IF(MONTH(A32)&lt;&gt;MONTH('SETUP'!$D$14),"",CHOOSE(WEEKDAY(A32,2),"Mon","Tue","Wed","Thu","Fri","Sat","Sun"))</x:f>
        <x:v>Sun</x:v>
      </x:c>
      <x:c r="C32" s="55" t="n">
        <x:f>IF(B32="","",COUNTIFS('REQUESTS'!$F$11:$F$90,"&lt;="&amp;A32,'REQUESTS'!$G$11:$G$90,"&gt;="&amp;A32,'REQUESTS'!$J$11:$J$90,"Approved"))</x:f>
        <x:v>0</x:v>
      </x:c>
      <x:c r="D32" s="55" t="n">
        <x:f>IF(B32="","",COUNTIFS('REQUESTS'!$F$11:$F$90,"&lt;="&amp;A32,'REQUESTS'!$G$11:$G$90,"&gt;="&amp;A32,'REQUESTS'!$J$11:$J$90,"Pending"))</x:f>
        <x:v>0</x:v>
      </x:c>
      <x:c r="E32" s="55" t="n">
        <x:f>IF(B32="","",COUNTIF('EMPLOYEES'!$F$11:$F$60,"Active")-C32)</x:f>
        <x:v>8</x:v>
      </x:c>
      <x:c r="F32" s="55" t="str">
        <x:f>IF(B32="","",IF(WEEKDAY(A32,2)&gt;5,"Weekend",IF(C32&gt;=COUNTIF('EMPLOYEES'!$F$11:$F$60,"Active"),"At Risk","Covered")))</x:f>
        <x:v>Weekend</x:v>
      </x:c>
      <x:c r="G32" s="55" t="str">
        <x:f>IF(B32="","",IF(D32&gt;0,"Pending",IF(C32&gt;0,"Approved","")))</x:f>
      </x:c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76" t="n">
        <x:f>'SETUP'!$D$14+22</x:f>
        <x:v>46349</x:v>
      </x:c>
      <x:c r="B33" s="55" t="str">
        <x:f>IF(MONTH(A33)&lt;&gt;MONTH('SETUP'!$D$14),"",CHOOSE(WEEKDAY(A33,2),"Mon","Tue","Wed","Thu","Fri","Sat","Sun"))</x:f>
        <x:v>Mon</x:v>
      </x:c>
      <x:c r="C33" s="55" t="n">
        <x:f>IF(B33="","",COUNTIFS('REQUESTS'!$F$11:$F$90,"&lt;="&amp;A33,'REQUESTS'!$G$11:$G$90,"&gt;="&amp;A33,'REQUESTS'!$J$11:$J$90,"Approved"))</x:f>
        <x:v>0</x:v>
      </x:c>
      <x:c r="D33" s="55" t="n">
        <x:f>IF(B33="","",COUNTIFS('REQUESTS'!$F$11:$F$90,"&lt;="&amp;A33,'REQUESTS'!$G$11:$G$90,"&gt;="&amp;A33,'REQUESTS'!$J$11:$J$90,"Pending"))</x:f>
        <x:v>1</x:v>
      </x:c>
      <x:c r="E33" s="55" t="n">
        <x:f>IF(B33="","",COUNTIF('EMPLOYEES'!$F$11:$F$60,"Active")-C33)</x:f>
        <x:v>8</x:v>
      </x:c>
      <x:c r="F33" s="55" t="str">
        <x:f>IF(B33="","",IF(WEEKDAY(A33,2)&gt;5,"Weekend",IF(C33&gt;=COUNTIF('EMPLOYEES'!$F$11:$F$60,"Active"),"At Risk","Covered")))</x:f>
        <x:v>Covered</x:v>
      </x:c>
      <x:c r="G33" s="55" t="str">
        <x:f>IF(B33="","",IF(D33&gt;0,"Pending",IF(C33&gt;0,"Approved","")))</x:f>
        <x:v>Pending</x:v>
      </x:c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76" t="n">
        <x:f>'SETUP'!$D$14+23</x:f>
        <x:v>46350</x:v>
      </x:c>
      <x:c r="B34" s="55" t="str">
        <x:f>IF(MONTH(A34)&lt;&gt;MONTH('SETUP'!$D$14),"",CHOOSE(WEEKDAY(A34,2),"Mon","Tue","Wed","Thu","Fri","Sat","Sun"))</x:f>
        <x:v>Tue</x:v>
      </x:c>
      <x:c r="C34" s="55" t="n">
        <x:f>IF(B34="","",COUNTIFS('REQUESTS'!$F$11:$F$90,"&lt;="&amp;A34,'REQUESTS'!$G$11:$G$90,"&gt;="&amp;A34,'REQUESTS'!$J$11:$J$90,"Approved"))</x:f>
        <x:v>0</x:v>
      </x:c>
      <x:c r="D34" s="55" t="n">
        <x:f>IF(B34="","",COUNTIFS('REQUESTS'!$F$11:$F$90,"&lt;="&amp;A34,'REQUESTS'!$G$11:$G$90,"&gt;="&amp;A34,'REQUESTS'!$J$11:$J$90,"Pending"))</x:f>
        <x:v>1</x:v>
      </x:c>
      <x:c r="E34" s="55" t="n">
        <x:f>IF(B34="","",COUNTIF('EMPLOYEES'!$F$11:$F$60,"Active")-C34)</x:f>
        <x:v>8</x:v>
      </x:c>
      <x:c r="F34" s="55" t="str">
        <x:f>IF(B34="","",IF(WEEKDAY(A34,2)&gt;5,"Weekend",IF(C34&gt;=COUNTIF('EMPLOYEES'!$F$11:$F$60,"Active"),"At Risk","Covered")))</x:f>
        <x:v>Covered</x:v>
      </x:c>
      <x:c r="G34" s="55" t="str">
        <x:f>IF(B34="","",IF(D34&gt;0,"Pending",IF(C34&gt;0,"Approved","")))</x:f>
        <x:v>Pending</x:v>
      </x:c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76" t="n">
        <x:f>'SETUP'!$D$14+24</x:f>
        <x:v>46351</x:v>
      </x:c>
      <x:c r="B35" s="55" t="str">
        <x:f>IF(MONTH(A35)&lt;&gt;MONTH('SETUP'!$D$14),"",CHOOSE(WEEKDAY(A35,2),"Mon","Tue","Wed","Thu","Fri","Sat","Sun"))</x:f>
        <x:v>Wed</x:v>
      </x:c>
      <x:c r="C35" s="55" t="n">
        <x:f>IF(B35="","",COUNTIFS('REQUESTS'!$F$11:$F$90,"&lt;="&amp;A35,'REQUESTS'!$G$11:$G$90,"&gt;="&amp;A35,'REQUESTS'!$J$11:$J$90,"Approved"))</x:f>
        <x:v>0</x:v>
      </x:c>
      <x:c r="D35" s="55" t="n">
        <x:f>IF(B35="","",COUNTIFS('REQUESTS'!$F$11:$F$90,"&lt;="&amp;A35,'REQUESTS'!$G$11:$G$90,"&gt;="&amp;A35,'REQUESTS'!$J$11:$J$90,"Pending"))</x:f>
        <x:v>1</x:v>
      </x:c>
      <x:c r="E35" s="55" t="n">
        <x:f>IF(B35="","",COUNTIF('EMPLOYEES'!$F$11:$F$60,"Active")-C35)</x:f>
        <x:v>8</x:v>
      </x:c>
      <x:c r="F35" s="55" t="str">
        <x:f>IF(B35="","",IF(WEEKDAY(A35,2)&gt;5,"Weekend",IF(C35&gt;=COUNTIF('EMPLOYEES'!$F$11:$F$60,"Active"),"At Risk","Covered")))</x:f>
        <x:v>Covered</x:v>
      </x:c>
      <x:c r="G35" s="55" t="str">
        <x:f>IF(B35="","",IF(D35&gt;0,"Pending",IF(C35&gt;0,"Approved","")))</x:f>
        <x:v>Pending</x:v>
      </x:c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76" t="n">
        <x:f>'SETUP'!$D$14+25</x:f>
        <x:v>46352</x:v>
      </x:c>
      <x:c r="B36" s="55" t="str">
        <x:f>IF(MONTH(A36)&lt;&gt;MONTH('SETUP'!$D$14),"",CHOOSE(WEEKDAY(A36,2),"Mon","Tue","Wed","Thu","Fri","Sat","Sun"))</x:f>
        <x:v>Thu</x:v>
      </x:c>
      <x:c r="C36" s="55" t="n">
        <x:f>IF(B36="","",COUNTIFS('REQUESTS'!$F$11:$F$90,"&lt;="&amp;A36,'REQUESTS'!$G$11:$G$90,"&gt;="&amp;A36,'REQUESTS'!$J$11:$J$90,"Approved"))</x:f>
        <x:v>0</x:v>
      </x:c>
      <x:c r="D36" s="55" t="n">
        <x:f>IF(B36="","",COUNTIFS('REQUESTS'!$F$11:$F$90,"&lt;="&amp;A36,'REQUESTS'!$G$11:$G$90,"&gt;="&amp;A36,'REQUESTS'!$J$11:$J$90,"Pending"))</x:f>
        <x:v>1</x:v>
      </x:c>
      <x:c r="E36" s="55" t="n">
        <x:f>IF(B36="","",COUNTIF('EMPLOYEES'!$F$11:$F$60,"Active")-C36)</x:f>
        <x:v>8</x:v>
      </x:c>
      <x:c r="F36" s="55" t="str">
        <x:f>IF(B36="","",IF(WEEKDAY(A36,2)&gt;5,"Weekend",IF(C36&gt;=COUNTIF('EMPLOYEES'!$F$11:$F$60,"Active"),"At Risk","Covered")))</x:f>
        <x:v>Covered</x:v>
      </x:c>
      <x:c r="G36" s="55" t="str">
        <x:f>IF(B36="","",IF(D36&gt;0,"Pending",IF(C36&gt;0,"Approved","")))</x:f>
        <x:v>Pending</x:v>
      </x:c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76" t="n">
        <x:f>'SETUP'!$D$14+26</x:f>
        <x:v>46353</x:v>
      </x:c>
      <x:c r="B37" s="55" t="str">
        <x:f>IF(MONTH(A37)&lt;&gt;MONTH('SETUP'!$D$14),"",CHOOSE(WEEKDAY(A37,2),"Mon","Tue","Wed","Thu","Fri","Sat","Sun"))</x:f>
        <x:v>Fri</x:v>
      </x:c>
      <x:c r="C37" s="55" t="n">
        <x:f>IF(B37="","",COUNTIFS('REQUESTS'!$F$11:$F$90,"&lt;="&amp;A37,'REQUESTS'!$G$11:$G$90,"&gt;="&amp;A37,'REQUESTS'!$J$11:$J$90,"Approved"))</x:f>
        <x:v>0</x:v>
      </x:c>
      <x:c r="D37" s="55" t="n">
        <x:f>IF(B37="","",COUNTIFS('REQUESTS'!$F$11:$F$90,"&lt;="&amp;A37,'REQUESTS'!$G$11:$G$90,"&gt;="&amp;A37,'REQUESTS'!$J$11:$J$90,"Pending"))</x:f>
        <x:v>1</x:v>
      </x:c>
      <x:c r="E37" s="55" t="n">
        <x:f>IF(B37="","",COUNTIF('EMPLOYEES'!$F$11:$F$60,"Active")-C37)</x:f>
        <x:v>8</x:v>
      </x:c>
      <x:c r="F37" s="55" t="str">
        <x:f>IF(B37="","",IF(WEEKDAY(A37,2)&gt;5,"Weekend",IF(C37&gt;=COUNTIF('EMPLOYEES'!$F$11:$F$60,"Active"),"At Risk","Covered")))</x:f>
        <x:v>Covered</x:v>
      </x:c>
      <x:c r="G37" s="55" t="str">
        <x:f>IF(B37="","",IF(D37&gt;0,"Pending",IF(C37&gt;0,"Approved","")))</x:f>
        <x:v>Pending</x:v>
      </x:c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76" t="n">
        <x:f>'SETUP'!$D$14+27</x:f>
        <x:v>46354</x:v>
      </x:c>
      <x:c r="B38" s="55" t="str">
        <x:f>IF(MONTH(A38)&lt;&gt;MONTH('SETUP'!$D$14),"",CHOOSE(WEEKDAY(A38,2),"Mon","Tue","Wed","Thu","Fri","Sat","Sun"))</x:f>
        <x:v>Sat</x:v>
      </x:c>
      <x:c r="C38" s="55" t="n">
        <x:f>IF(B38="","",COUNTIFS('REQUESTS'!$F$11:$F$90,"&lt;="&amp;A38,'REQUESTS'!$G$11:$G$90,"&gt;="&amp;A38,'REQUESTS'!$J$11:$J$90,"Approved"))</x:f>
        <x:v>0</x:v>
      </x:c>
      <x:c r="D38" s="55" t="n">
        <x:f>IF(B38="","",COUNTIFS('REQUESTS'!$F$11:$F$90,"&lt;="&amp;A38,'REQUESTS'!$G$11:$G$90,"&gt;="&amp;A38,'REQUESTS'!$J$11:$J$90,"Pending"))</x:f>
        <x:v>0</x:v>
      </x:c>
      <x:c r="E38" s="55" t="n">
        <x:f>IF(B38="","",COUNTIF('EMPLOYEES'!$F$11:$F$60,"Active")-C38)</x:f>
        <x:v>8</x:v>
      </x:c>
      <x:c r="F38" s="55" t="str">
        <x:f>IF(B38="","",IF(WEEKDAY(A38,2)&gt;5,"Weekend",IF(C38&gt;=COUNTIF('EMPLOYEES'!$F$11:$F$60,"Active"),"At Risk","Covered")))</x:f>
        <x:v>Weekend</x:v>
      </x:c>
      <x:c r="G38" s="55" t="str">
        <x:f>IF(B38="","",IF(D38&gt;0,"Pending",IF(C38&gt;0,"Approved","")))</x:f>
      </x:c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76" t="n">
        <x:f>'SETUP'!$D$14+28</x:f>
        <x:v>46355</x:v>
      </x:c>
      <x:c r="B39" s="55" t="str">
        <x:f>IF(MONTH(A39)&lt;&gt;MONTH('SETUP'!$D$14),"",CHOOSE(WEEKDAY(A39,2),"Mon","Tue","Wed","Thu","Fri","Sat","Sun"))</x:f>
        <x:v>Sun</x:v>
      </x:c>
      <x:c r="C39" s="55" t="n">
        <x:f>IF(B39="","",COUNTIFS('REQUESTS'!$F$11:$F$90,"&lt;="&amp;A39,'REQUESTS'!$G$11:$G$90,"&gt;="&amp;A39,'REQUESTS'!$J$11:$J$90,"Approved"))</x:f>
        <x:v>0</x:v>
      </x:c>
      <x:c r="D39" s="55" t="n">
        <x:f>IF(B39="","",COUNTIFS('REQUESTS'!$F$11:$F$90,"&lt;="&amp;A39,'REQUESTS'!$G$11:$G$90,"&gt;="&amp;A39,'REQUESTS'!$J$11:$J$90,"Pending"))</x:f>
        <x:v>0</x:v>
      </x:c>
      <x:c r="E39" s="55" t="n">
        <x:f>IF(B39="","",COUNTIF('EMPLOYEES'!$F$11:$F$60,"Active")-C39)</x:f>
        <x:v>8</x:v>
      </x:c>
      <x:c r="F39" s="55" t="str">
        <x:f>IF(B39="","",IF(WEEKDAY(A39,2)&gt;5,"Weekend",IF(C39&gt;=COUNTIF('EMPLOYEES'!$F$11:$F$60,"Active"),"At Risk","Covered")))</x:f>
        <x:v>Weekend</x:v>
      </x:c>
      <x:c r="G39" s="55" t="str">
        <x:f>IF(B39="","",IF(D39&gt;0,"Pending",IF(C39&gt;0,"Approved","")))</x:f>
      </x:c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76" t="n">
        <x:f>'SETUP'!$D$14+29</x:f>
        <x:v>46356</x:v>
      </x:c>
      <x:c r="B40" s="55" t="str">
        <x:f>IF(MONTH(A40)&lt;&gt;MONTH('SETUP'!$D$14),"",CHOOSE(WEEKDAY(A40,2),"Mon","Tue","Wed","Thu","Fri","Sat","Sun"))</x:f>
        <x:v>Mon</x:v>
      </x:c>
      <x:c r="C40" s="55" t="n">
        <x:f>IF(B40="","",COUNTIFS('REQUESTS'!$F$11:$F$90,"&lt;="&amp;A40,'REQUESTS'!$G$11:$G$90,"&gt;="&amp;A40,'REQUESTS'!$J$11:$J$90,"Approved"))</x:f>
        <x:v>0</x:v>
      </x:c>
      <x:c r="D40" s="55" t="n">
        <x:f>IF(B40="","",COUNTIFS('REQUESTS'!$F$11:$F$90,"&lt;="&amp;A40,'REQUESTS'!$G$11:$G$90,"&gt;="&amp;A40,'REQUESTS'!$J$11:$J$90,"Pending"))</x:f>
        <x:v>0</x:v>
      </x:c>
      <x:c r="E40" s="55" t="n">
        <x:f>IF(B40="","",COUNTIF('EMPLOYEES'!$F$11:$F$60,"Active")-C40)</x:f>
        <x:v>8</x:v>
      </x:c>
      <x:c r="F40" s="55" t="str">
        <x:f>IF(B40="","",IF(WEEKDAY(A40,2)&gt;5,"Weekend",IF(C40&gt;=COUNTIF('EMPLOYEES'!$F$11:$F$60,"Active"),"At Risk","Covered")))</x:f>
        <x:v>Covered</x:v>
      </x:c>
      <x:c r="G40" s="55" t="str">
        <x:f>IF(B40="","",IF(D40&gt;0,"Pending",IF(C40&gt;0,"Approved","")))</x:f>
      </x:c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77" t="n">
        <x:f>'SETUP'!$D$14+30</x:f>
        <x:v>46357</x:v>
      </x:c>
      <x:c r="B41" s="56" t="str">
        <x:f>IF(MONTH(A41)&lt;&gt;MONTH('SETUP'!$D$14),"",CHOOSE(WEEKDAY(A41,2),"Mon","Tue","Wed","Thu","Fri","Sat","Sun"))</x:f>
      </x:c>
      <x:c r="C41" s="56" t="str">
        <x:f>IF(B41="","",COUNTIFS('REQUESTS'!$F$11:$F$90,"&lt;="&amp;A41,'REQUESTS'!$G$11:$G$90,"&gt;="&amp;A41,'REQUESTS'!$J$11:$J$90,"Approved"))</x:f>
      </x:c>
      <x:c r="D41" s="56" t="str">
        <x:f>IF(B41="","",COUNTIFS('REQUESTS'!$F$11:$F$90,"&lt;="&amp;A41,'REQUESTS'!$G$11:$G$90,"&gt;="&amp;A41,'REQUESTS'!$J$11:$J$90,"Pending"))</x:f>
      </x:c>
      <x:c r="E41" s="56" t="str">
        <x:f>IF(B41="","",COUNTIF('EMPLOYEES'!$F$11:$F$60,"Active")-C41)</x:f>
      </x:c>
      <x:c r="F41" s="56" t="str">
        <x:f>IF(B41="","",IF(WEEKDAY(A41,2)&gt;5,"Weekend",IF(C41&gt;=COUNTIF('EMPLOYEES'!$F$11:$F$60,"Active"),"At Risk","Covered")))</x:f>
      </x:c>
      <x:c r="G41" s="56" t="str">
        <x:f>IF(B41="","",IF(D41&gt;0,"Pending",IF(C41&gt;0,"Approved","")))</x:f>
      </x:c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9:G9"/>
  </x:mergeCells>
  <x:conditionalFormatting sqref="F11:F41">
    <x:cfRule type="cellIs" dxfId="8" priority="1" operator="equal">
      <x:formula>"At Risk"</x:formula>
    </x:cfRule>
  </x:conditionalFormatting>
  <x:pageMargins left="0.7" right="0.7" top="0.75" bottom="0.75" header="0.3" footer="0.3"/>
  <x:drawing xmlns:r="http://schemas.openxmlformats.org/officeDocument/2006/relationships" r:id="R310227a29d3e43ed"/>
  <x:tableParts count="1">
    <x:tablePart xmlns:r="http://schemas.openxmlformats.org/officeDocument/2006/relationships" r:id="Re6cc3060bffe4214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20" topLeftCell="A21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8" hidden="0" customWidth="1"/>
    <x:col min="4" max="4" width="18" hidden="0" customWidth="1"/>
    <x:col min="5" max="5" width="18" hidden="0" customWidth="1"/>
    <x:col min="6" max="6" width="16" hidden="0" customWidth="1"/>
    <x:col min="7" max="7" width="14" hidden="0" customWidth="1"/>
    <x:col min="8" max="8" width="18" hidden="0" customWidth="1"/>
  </x:cols>
  <x:sheetData>
    <x:row r="1" ht="20" customHeight="1">
      <x:c r="A1" s="12" t="str">
        <x:v>Home</x:v>
      </x:c>
      <x:c r="B1" s="13" t="str">
        <x:v>Home</x:v>
      </x:c>
      <x:c r="C1" s="12" t="str">
        <x:v>Setup</x:v>
      </x:c>
      <x:c r="D1" s="13" t="str">
        <x:v>Setup</x:v>
      </x:c>
      <x:c r="E1" s="12" t="str">
        <x:v>Employees</x:v>
      </x:c>
      <x:c r="F1" s="13" t="str">
        <x:v>Employees</x:v>
      </x:c>
      <x:c r="G1" s="12" t="str">
        <x:v>Requests</x:v>
      </x:c>
      <x:c r="H1" s="13" t="str">
        <x:v>Requests</x:v>
      </x:c>
      <x:c r="I1" s="12" t="str">
        <x:v>Balances</x:v>
      </x:c>
      <x:c r="J1" s="13" t="str">
        <x:v>Balances</x:v>
      </x:c>
      <x:c r="K1" s="12" t="str">
        <x:v>Calendar</x:v>
      </x:c>
      <x:c r="L1" s="13" t="str">
        <x:v>Calendar</x:v>
      </x:c>
      <x:c r="M1" s="9" t="str">
        <x:v>Coverage</x:v>
      </x:c>
      <x:c r="N1" s="10" t="str">
        <x:v>Coverage</x:v>
      </x:c>
      <x:c r="O1" s="12" t="str">
        <x:v>Dashboard</x:v>
      </x:c>
      <x:c r="P1" s="13" t="str">
        <x:v>Dashboard</x:v>
      </x:c>
      <x:c r="Q1" s="12" t="str">
        <x:v>Audit</x:v>
      </x:c>
      <x:c r="R1" s="13" t="str">
        <x:v>Audit</x:v>
      </x:c>
      <x:c r="S1" s="6"/>
      <x:c r="T1" s="6"/>
    </x:row>
    <x:row r="2" ht="20" customHeight="1">
      <x:c r="A2" s="12" t="str">
        <x:v>Home</x:v>
      </x:c>
      <x:c r="B2" s="13" t="str">
        <x:v>Home</x:v>
      </x:c>
      <x:c r="C2" s="12" t="str">
        <x:v>Setup</x:v>
      </x:c>
      <x:c r="D2" s="13" t="str">
        <x:v>Setup</x:v>
      </x:c>
      <x:c r="E2" s="12" t="str">
        <x:v>Employees</x:v>
      </x:c>
      <x:c r="F2" s="13" t="str">
        <x:v>Employees</x:v>
      </x:c>
      <x:c r="G2" s="12" t="str">
        <x:v>Requests</x:v>
      </x:c>
      <x:c r="H2" s="13" t="str">
        <x:v>Requests</x:v>
      </x:c>
      <x:c r="I2" s="12" t="str">
        <x:v>Balances</x:v>
      </x:c>
      <x:c r="J2" s="13" t="str">
        <x:v>Balances</x:v>
      </x:c>
      <x:c r="K2" s="12" t="str">
        <x:v>Calendar</x:v>
      </x:c>
      <x:c r="L2" s="13" t="str">
        <x:v>Calendar</x:v>
      </x:c>
      <x:c r="M2" s="9" t="str">
        <x:v>Coverage</x:v>
      </x:c>
      <x:c r="N2" s="10" t="str">
        <x:v>Coverage</x:v>
      </x:c>
      <x:c r="O2" s="12" t="str">
        <x:v>Dashboard</x:v>
      </x:c>
      <x:c r="P2" s="13" t="str">
        <x:v>Dashboard</x:v>
      </x:c>
      <x:c r="Q2" s="12" t="str">
        <x:v>Audit</x:v>
      </x:c>
      <x:c r="R2" s="13" t="str">
        <x:v>Audit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CAPACITY CONTROL</x:v>
      </x:c>
      <x:c r="B4" s="15" t="str">
        <x:v>CAPACITY CONTROL</x:v>
      </x:c>
      <x:c r="C4" s="15" t="str">
        <x:v>CAPACITY CONTROL</x:v>
      </x:c>
      <x:c r="D4" s="15" t="str">
        <x:v>CAPACITY CONTROL</x:v>
      </x:c>
      <x:c r="E4" s="15" t="str">
        <x:v>CAPACITY CONTROL</x:v>
      </x:c>
      <x:c r="F4" s="15" t="str">
        <x:v>CAPACITY CONTROL</x:v>
      </x:c>
      <x:c r="G4" s="15" t="str">
        <x:v>CAPACITY CONTROL</x:v>
      </x:c>
      <x:c r="H4" s="15" t="str">
        <x:v>CAPACITY CONTROL</x:v>
      </x:c>
      <x:c r="I4" s="15" t="str">
        <x:v>CAPACITY CONTROL</x:v>
      </x:c>
      <x:c r="J4" s="15" t="str">
        <x:v>CAPACITY CONTROL</x:v>
      </x:c>
      <x:c r="K4" s="15" t="str">
        <x:v>CAPACITY CONTROL</x:v>
      </x:c>
      <x:c r="L4" s="15" t="str">
        <x:v>CAPACITY CONTROL</x:v>
      </x:c>
      <x:c r="M4" s="15" t="str">
        <x:v>CAPACITY CONTROL</x:v>
      </x:c>
      <x:c r="N4" s="15" t="str">
        <x:v>CAPACITY CONTROL</x:v>
      </x:c>
      <x:c r="O4" s="15" t="str">
        <x:v>CAPACITY CONTROL</x:v>
      </x:c>
      <x:c r="P4" s="15" t="str">
        <x:v>CAPACITY CONTROL</x:v>
      </x:c>
      <x:c r="Q4" s="15" t="str">
        <x:v>CAPACITY CONTROL</x:v>
      </x:c>
      <x:c r="R4" s="15" t="str">
        <x:v>CAPACITY CONTROL</x:v>
      </x:c>
      <x:c r="S4" s="15" t="str">
        <x:v>CAPACITY CONTROL</x:v>
      </x:c>
      <x:c r="T4" s="15" t="str">
        <x:v>CAPACITY CONTROL</x:v>
      </x:c>
    </x:row>
    <x:row r="5" ht="24" customHeight="1">
      <x:c r="A5" s="17" t="str">
        <x:v>Staffing Coverage Planner</x:v>
      </x:c>
      <x:c r="B5" s="17" t="str">
        <x:v>Staffing Coverage Planner</x:v>
      </x:c>
      <x:c r="C5" s="17" t="str">
        <x:v>Staffing Coverage Planner</x:v>
      </x:c>
      <x:c r="D5" s="17" t="str">
        <x:v>Staffing Coverage Planner</x:v>
      </x:c>
      <x:c r="E5" s="17" t="str">
        <x:v>Staffing Coverage Planner</x:v>
      </x:c>
      <x:c r="F5" s="17" t="str">
        <x:v>Staffing Coverage Planner</x:v>
      </x:c>
      <x:c r="G5" s="17" t="str">
        <x:v>Staffing Coverage Planner</x:v>
      </x:c>
      <x:c r="H5" s="17" t="str">
        <x:v>Staffing Coverage Planner</x:v>
      </x:c>
      <x:c r="I5" s="17" t="str">
        <x:v>Staffing Coverage Planner</x:v>
      </x:c>
      <x:c r="J5" s="17" t="str">
        <x:v>Staffing Coverage Planner</x:v>
      </x:c>
      <x:c r="K5" s="17" t="str">
        <x:v>Staffing Coverage Planner</x:v>
      </x:c>
      <x:c r="L5" s="17" t="str">
        <x:v>Staffing Coverage Planner</x:v>
      </x:c>
      <x:c r="M5" s="17" t="str">
        <x:v>Staffing Coverage Planner</x:v>
      </x:c>
      <x:c r="N5" s="17" t="str">
        <x:v>Staffing Coverage Planner</x:v>
      </x:c>
      <x:c r="O5" s="17" t="str">
        <x:v>Staffing Coverage Planner</x:v>
      </x:c>
      <x:c r="P5" s="17" t="str">
        <x:v>Staffing Coverage Planner</x:v>
      </x:c>
      <x:c r="Q5" s="17" t="str">
        <x:v>Staffing Coverage Planner</x:v>
      </x:c>
      <x:c r="R5" s="17" t="str">
        <x:v>Staffing Coverage Planner</x:v>
      </x:c>
      <x:c r="S5" s="17" t="str">
        <x:v>Staffing Coverage Planner</x:v>
      </x:c>
      <x:c r="T5" s="17" t="str">
        <x:v>Staffing Coverage Planner</x:v>
      </x:c>
    </x:row>
    <x:row r="6" ht="24" customHeight="1">
      <x:c r="A6" s="18" t="str">
        <x:v>Staffing Coverage Planner</x:v>
      </x:c>
      <x:c r="B6" s="18" t="str">
        <x:v>Staffing Coverage Planner</x:v>
      </x:c>
      <x:c r="C6" s="18" t="str">
        <x:v>Staffing Coverage Planner</x:v>
      </x:c>
      <x:c r="D6" s="18" t="str">
        <x:v>Staffing Coverage Planner</x:v>
      </x:c>
      <x:c r="E6" s="18" t="str">
        <x:v>Staffing Coverage Planner</x:v>
      </x:c>
      <x:c r="F6" s="18" t="str">
        <x:v>Staffing Coverage Planner</x:v>
      </x:c>
      <x:c r="G6" s="18" t="str">
        <x:v>Staffing Coverage Planner</x:v>
      </x:c>
      <x:c r="H6" s="18" t="str">
        <x:v>Staffing Coverage Planner</x:v>
      </x:c>
      <x:c r="I6" s="18" t="str">
        <x:v>Staffing Coverage Planner</x:v>
      </x:c>
      <x:c r="J6" s="18" t="str">
        <x:v>Staffing Coverage Planner</x:v>
      </x:c>
      <x:c r="K6" s="18" t="str">
        <x:v>Staffing Coverage Planner</x:v>
      </x:c>
      <x:c r="L6" s="18" t="str">
        <x:v>Staffing Coverage Planner</x:v>
      </x:c>
      <x:c r="M6" s="18" t="str">
        <x:v>Staffing Coverage Planner</x:v>
      </x:c>
      <x:c r="N6" s="18" t="str">
        <x:v>Staffing Coverage Planner</x:v>
      </x:c>
      <x:c r="O6" s="18" t="str">
        <x:v>Staffing Coverage Planner</x:v>
      </x:c>
      <x:c r="P6" s="18" t="str">
        <x:v>Staffing Coverage Planner</x:v>
      </x:c>
      <x:c r="Q6" s="18" t="str">
        <x:v>Staffing Coverage Planner</x:v>
      </x:c>
      <x:c r="R6" s="18" t="str">
        <x:v>Staffing Coverage Planner</x:v>
      </x:c>
      <x:c r="S6" s="18" t="str">
        <x:v>Staffing Coverage Planner</x:v>
      </x:c>
      <x:c r="T6" s="18" t="str">
        <x:v>Staffing Coverage Planner</x:v>
      </x:c>
    </x:row>
    <x:row r="7" ht="18" customHeight="1">
      <x:c r="A7" s="20" t="str">
        <x:v>Test staffing capacity by department and date before approving overlapping leave.</x:v>
      </x:c>
      <x:c r="B7" s="20" t="str">
        <x:v>Test staffing capacity by department and date before approving overlapping leave.</x:v>
      </x:c>
      <x:c r="C7" s="20" t="str">
        <x:v>Test staffing capacity by department and date before approving overlapping leave.</x:v>
      </x:c>
      <x:c r="D7" s="20" t="str">
        <x:v>Test staffing capacity by department and date before approving overlapping leave.</x:v>
      </x:c>
      <x:c r="E7" s="20" t="str">
        <x:v>Test staffing capacity by department and date before approving overlapping leave.</x:v>
      </x:c>
      <x:c r="F7" s="20" t="str">
        <x:v>Test staffing capacity by department and date before approving overlapping leave.</x:v>
      </x:c>
      <x:c r="G7" s="20" t="str">
        <x:v>Test staffing capacity by department and date before approving overlapping leave.</x:v>
      </x:c>
      <x:c r="H7" s="20" t="str">
        <x:v>Test staffing capacity by department and date before approving overlapping leave.</x:v>
      </x:c>
      <x:c r="I7" s="20" t="str">
        <x:v>Test staffing capacity by department and date before approving overlapping leave.</x:v>
      </x:c>
      <x:c r="J7" s="20" t="str">
        <x:v>Test staffing capacity by department and date before approving overlapping leave.</x:v>
      </x:c>
      <x:c r="K7" s="20" t="str">
        <x:v>Test staffing capacity by department and date before approving overlapping leave.</x:v>
      </x:c>
      <x:c r="L7" s="20" t="str">
        <x:v>Test staffing capacity by department and date before approving overlapping leave.</x:v>
      </x:c>
      <x:c r="M7" s="20" t="str">
        <x:v>Test staffing capacity by department and date before approving overlapping leave.</x:v>
      </x:c>
      <x:c r="N7" s="20" t="str">
        <x:v>Test staffing capacity by department and date before approving overlapping leave.</x:v>
      </x:c>
      <x:c r="O7" s="20" t="str">
        <x:v>Test staffing capacity by department and date before approving overlapping leave.</x:v>
      </x:c>
      <x:c r="P7" s="20" t="str">
        <x:v>Test staffing capacity by department and date before approving overlapping leave.</x:v>
      </x:c>
      <x:c r="Q7" s="20" t="str">
        <x:v>Test staffing capacity by department and date before approving overlapping leave.</x:v>
      </x:c>
      <x:c r="R7" s="20" t="str">
        <x:v>Test staffing capacity by department and date before approving overlapping leave.</x:v>
      </x:c>
      <x:c r="S7" s="20" t="str">
        <x:v>Test staffing capacity by department and date before approving overlapping leave.</x:v>
      </x:c>
      <x:c r="T7" s="20" t="str">
        <x:v>Test staffing capacity by department and date before approving overlapping leave.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22" t="str">
        <x:v>STAFFING TEST</x:v>
      </x:c>
      <x:c r="B9" s="22" t="str">
        <x:v>STAFFING TEST</x:v>
      </x:c>
      <x:c r="C9" s="22" t="str">
        <x:v>STAFFING TEST</x:v>
      </x:c>
      <x:c r="D9" s="22" t="str">
        <x:v>STAFFING TEST</x:v>
      </x:c>
      <x:c r="E9" s="22" t="str">
        <x:v>STAFFING TEST</x:v>
      </x:c>
      <x:c r="F9" s="22" t="str">
        <x:v>STAFFING TEST</x:v>
      </x:c>
      <x:c r="G9" s="22" t="str">
        <x:v>STAFFING TEST</x:v>
      </x:c>
      <x:c r="H9" s="22" t="str">
        <x:v>STAFFING TEST</x:v>
      </x:c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Department</x:v>
      </x:c>
      <x:c r="B10" s="33" t="str">
        <x:v>Active headcount</x:v>
      </x:c>
      <x:c r="C10" s="33" t="str">
        <x:v>Approved away</x:v>
      </x:c>
      <x:c r="D10" s="33" t="str">
        <x:v>Pending away</x:v>
      </x:c>
      <x:c r="E10" s="33" t="str">
        <x:v>Available now</x:v>
      </x:c>
      <x:c r="F10" s="33" t="str">
        <x:v>Minimum required</x:v>
      </x:c>
      <x:c r="G10" s="33" t="str">
        <x:v>Capacity buffer</x:v>
      </x:c>
      <x:c r="H10" s="33" t="str">
        <x:v>Coverage status</x:v>
      </x:c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55" t="str">
        <x:v>Operations</x:v>
      </x:c>
      <x:c r="B11" s="55" t="n">
        <x:f>COUNTIFS('EMPLOYEES'!$C$11:$C$60,A11,'EMPLOYEES'!$F$11:$F$60,"Active")</x:f>
        <x:v>2</x:v>
      </x:c>
      <x:c r="C11" s="55" t="n">
        <x:f>COUNTIFS('REQUESTS'!$D$11:$D$90,A11,'REQUESTS'!$F$11:$F$90,"&lt;="&amp;'SETUP'!$D$15,'REQUESTS'!$G$11:$G$90,"&gt;="&amp;'SETUP'!$D$15,'REQUESTS'!$J$11:$J$90,"Approved")</x:f>
        <x:v>0</x:v>
      </x:c>
      <x:c r="D11" s="55" t="n">
        <x:f>COUNTIFS('REQUESTS'!$D$11:$D$90,A11,'REQUESTS'!$F$11:$F$90,"&lt;="&amp;'SETUP'!$D$15,'REQUESTS'!$G$11:$G$90,"&gt;="&amp;'SETUP'!$D$15,'REQUESTS'!$J$11:$J$90,"Pending")</x:f>
        <x:v>0</x:v>
      </x:c>
      <x:c r="E11" s="55" t="n">
        <x:f>B11-C11</x:f>
        <x:v>2</x:v>
      </x:c>
      <x:c r="F11" s="55" t="n">
        <x:f>IFERROR(INDEX('SETUP'!$K$19:$K$23,MATCH(A11,'SETUP'!$J$19:$J$23,0)),0)</x:f>
        <x:v>1</x:v>
      </x:c>
      <x:c r="G11" s="55" t="n">
        <x:f>E11-F11</x:f>
        <x:v>1</x:v>
      </x:c>
      <x:c r="H11" s="55" t="str">
        <x:f>IF(G11&lt;0,"At Risk","Covered")</x:f>
        <x:v>Covered</x:v>
      </x:c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</x:row>
    <x:row r="12">
      <x:c r="A12" s="55" t="str">
        <x:v>Sales</x:v>
      </x:c>
      <x:c r="B12" s="55" t="n">
        <x:f>COUNTIFS('EMPLOYEES'!$C$11:$C$60,A12,'EMPLOYEES'!$F$11:$F$60,"Active")</x:f>
        <x:v>2</x:v>
      </x:c>
      <x:c r="C12" s="55" t="n">
        <x:f>COUNTIFS('REQUESTS'!$D$11:$D$90,A12,'REQUESTS'!$F$11:$F$90,"&lt;="&amp;'SETUP'!$D$15,'REQUESTS'!$G$11:$G$90,"&gt;="&amp;'SETUP'!$D$15,'REQUESTS'!$J$11:$J$90,"Approved")</x:f>
        <x:v>0</x:v>
      </x:c>
      <x:c r="D12" s="55" t="n">
        <x:f>COUNTIFS('REQUESTS'!$D$11:$D$90,A12,'REQUESTS'!$F$11:$F$90,"&lt;="&amp;'SETUP'!$D$15,'REQUESTS'!$G$11:$G$90,"&gt;="&amp;'SETUP'!$D$15,'REQUESTS'!$J$11:$J$90,"Pending")</x:f>
        <x:v>0</x:v>
      </x:c>
      <x:c r="E12" s="55" t="n">
        <x:f>B12-C12</x:f>
        <x:v>2</x:v>
      </x:c>
      <x:c r="F12" s="55" t="n">
        <x:f>IFERROR(INDEX('SETUP'!$K$19:$K$23,MATCH(A12,'SETUP'!$J$19:$J$23,0)),0)</x:f>
        <x:v>1</x:v>
      </x:c>
      <x:c r="G12" s="55" t="n">
        <x:f>E12-F12</x:f>
        <x:v>1</x:v>
      </x:c>
      <x:c r="H12" s="55" t="str">
        <x:f>IF(G12&lt;0,"At Risk","Covered")</x:f>
        <x:v>Covered</x:v>
      </x:c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</x:row>
    <x:row r="13">
      <x:c r="A13" s="55" t="str">
        <x:v>Finance</x:v>
      </x:c>
      <x:c r="B13" s="55" t="n">
        <x:f>COUNTIFS('EMPLOYEES'!$C$11:$C$60,A13,'EMPLOYEES'!$F$11:$F$60,"Active")</x:f>
        <x:v>1</x:v>
      </x:c>
      <x:c r="C13" s="55" t="n">
        <x:f>COUNTIFS('REQUESTS'!$D$11:$D$90,A13,'REQUESTS'!$F$11:$F$90,"&lt;="&amp;'SETUP'!$D$15,'REQUESTS'!$G$11:$G$90,"&gt;="&amp;'SETUP'!$D$15,'REQUESTS'!$J$11:$J$90,"Approved")</x:f>
        <x:v>0</x:v>
      </x:c>
      <x:c r="D13" s="55" t="n">
        <x:f>COUNTIFS('REQUESTS'!$D$11:$D$90,A13,'REQUESTS'!$F$11:$F$90,"&lt;="&amp;'SETUP'!$D$15,'REQUESTS'!$G$11:$G$90,"&gt;="&amp;'SETUP'!$D$15,'REQUESTS'!$J$11:$J$90,"Pending")</x:f>
        <x:v>0</x:v>
      </x:c>
      <x:c r="E13" s="55" t="n">
        <x:f>B13-C13</x:f>
        <x:v>1</x:v>
      </x:c>
      <x:c r="F13" s="55" t="n">
        <x:f>IFERROR(INDEX('SETUP'!$K$19:$K$23,MATCH(A13,'SETUP'!$J$19:$J$23,0)),0)</x:f>
        <x:v>1</x:v>
      </x:c>
      <x:c r="G13" s="55" t="n">
        <x:f>E13-F13</x:f>
        <x:v>0</x:v>
      </x:c>
      <x:c r="H13" s="55" t="str">
        <x:f>IF(G13&lt;0,"At Risk","Covered")</x:f>
        <x:v>Covered</x:v>
      </x:c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</x:row>
    <x:row r="14">
      <x:c r="A14" s="55" t="str">
        <x:v>Marketing</x:v>
      </x:c>
      <x:c r="B14" s="55" t="n">
        <x:f>COUNTIFS('EMPLOYEES'!$C$11:$C$60,A14,'EMPLOYEES'!$F$11:$F$60,"Active")</x:f>
        <x:v>1</x:v>
      </x:c>
      <x:c r="C14" s="55" t="n">
        <x:f>COUNTIFS('REQUESTS'!$D$11:$D$90,A14,'REQUESTS'!$F$11:$F$90,"&lt;="&amp;'SETUP'!$D$15,'REQUESTS'!$G$11:$G$90,"&gt;="&amp;'SETUP'!$D$15,'REQUESTS'!$J$11:$J$90,"Approved")</x:f>
        <x:v>0</x:v>
      </x:c>
      <x:c r="D14" s="55" t="n">
        <x:f>COUNTIFS('REQUESTS'!$D$11:$D$90,A14,'REQUESTS'!$F$11:$F$90,"&lt;="&amp;'SETUP'!$D$15,'REQUESTS'!$G$11:$G$90,"&gt;="&amp;'SETUP'!$D$15,'REQUESTS'!$J$11:$J$90,"Pending")</x:f>
        <x:v>1</x:v>
      </x:c>
      <x:c r="E14" s="55" t="n">
        <x:f>B14-C14</x:f>
        <x:v>1</x:v>
      </x:c>
      <x:c r="F14" s="55" t="n">
        <x:f>IFERROR(INDEX('SETUP'!$K$19:$K$23,MATCH(A14,'SETUP'!$J$19:$J$23,0)),0)</x:f>
        <x:v>1</x:v>
      </x:c>
      <x:c r="G14" s="55" t="n">
        <x:f>E14-F14</x:f>
        <x:v>0</x:v>
      </x:c>
      <x:c r="H14" s="55" t="str">
        <x:f>IF(G14&lt;0,"At Risk","Covered")</x:f>
        <x:v>Covered</x:v>
      </x:c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56" t="str">
        <x:v>Client Success</x:v>
      </x:c>
      <x:c r="B15" s="56" t="n">
        <x:f>COUNTIFS('EMPLOYEES'!$C$11:$C$60,A15,'EMPLOYEES'!$F$11:$F$60,"Active")</x:f>
        <x:v>2</x:v>
      </x:c>
      <x:c r="C15" s="56" t="n">
        <x:f>COUNTIFS('REQUESTS'!$D$11:$D$90,A15,'REQUESTS'!$F$11:$F$90,"&lt;="&amp;'SETUP'!$D$15,'REQUESTS'!$G$11:$G$90,"&gt;="&amp;'SETUP'!$D$15,'REQUESTS'!$J$11:$J$90,"Approved")</x:f>
        <x:v>0</x:v>
      </x:c>
      <x:c r="D15" s="56" t="n">
        <x:f>COUNTIFS('REQUESTS'!$D$11:$D$90,A15,'REQUESTS'!$F$11:$F$90,"&lt;="&amp;'SETUP'!$D$15,'REQUESTS'!$G$11:$G$90,"&gt;="&amp;'SETUP'!$D$15,'REQUESTS'!$J$11:$J$90,"Pending")</x:f>
        <x:v>0</x:v>
      </x:c>
      <x:c r="E15" s="56" t="n">
        <x:f>B15-C15</x:f>
        <x:v>2</x:v>
      </x:c>
      <x:c r="F15" s="56" t="n">
        <x:f>IFERROR(INDEX('SETUP'!$K$19:$K$23,MATCH(A15,'SETUP'!$J$19:$J$23,0)),0)</x:f>
        <x:v>1</x:v>
      </x:c>
      <x:c r="G15" s="56" t="n">
        <x:f>E15-F15</x:f>
        <x:v>1</x:v>
      </x:c>
      <x:c r="H15" s="56" t="str">
        <x:f>IF(G15&lt;0,"At Risk","Covered")</x:f>
        <x:v>Covered</x:v>
      </x:c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22" t="str">
        <x:v>MONTHLY ABSENCE VIEW</x:v>
      </x:c>
      <x:c r="B19" s="22" t="str">
        <x:v>MONTHLY ABSENCE VIEW</x:v>
      </x:c>
      <x:c r="C19" s="22" t="str">
        <x:v>MONTHLY ABSENCE VIEW</x:v>
      </x:c>
      <x:c r="D19" s="22" t="str">
        <x:v>MONTHLY ABSENCE VIEW</x:v>
      </x:c>
      <x:c r="E19" s="22" t="str">
        <x:v>MONTHLY ABSENCE VIEW</x:v>
      </x:c>
      <x:c r="F19" s="22" t="str">
        <x:v>MONTHLY ABSENCE VIEW</x:v>
      </x:c>
      <x:c r="G19" s="22" t="str">
        <x:v>MONTHLY ABSENCE VIEW</x:v>
      </x:c>
      <x:c r="H19" s="22" t="str">
        <x:v>MONTHLY ABSENCE VIEW</x:v>
      </x:c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33" t="str">
        <x:v>Date</x:v>
      </x:c>
      <x:c r="B20" s="33" t="str">
        <x:v>Day</x:v>
      </x:c>
      <x:c r="C20" s="33" t="str">
        <x:v>Approved requests</x:v>
      </x:c>
      <x:c r="D20" s="33" t="str">
        <x:v>Pending requests</x:v>
      </x:c>
      <x:c r="E20" s="33" t="str">
        <x:v>People available</x:v>
      </x:c>
      <x:c r="F20" s="33" t="str">
        <x:v>Minimum required</x:v>
      </x:c>
      <x:c r="G20" s="33" t="str">
        <x:v>Capacity buffer</x:v>
      </x:c>
      <x:c r="H20" s="33" t="str">
        <x:v>Coverage status</x:v>
      </x:c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76" t="n">
        <x:f>'SETUP'!$D$14+0</x:f>
        <x:v>46327</x:v>
      </x:c>
      <x:c r="B21" s="55" t="str">
        <x:f>IF(MONTH(A21)&lt;&gt;MONTH('SETUP'!$D$14),"",CHOOSE(WEEKDAY(A21,2),"Mon","Tue","Wed","Thu","Fri","Sat","Sun"))</x:f>
        <x:v>Sun</x:v>
      </x:c>
      <x:c r="C21" s="55" t="n">
        <x:f>IF(B21="","",COUNTIFS('REQUESTS'!$F$11:$F$90,"&lt;="&amp;A21,'REQUESTS'!$G$11:$G$90,"&gt;="&amp;A21,'REQUESTS'!$J$11:$J$90,"Approved"))</x:f>
        <x:v>0</x:v>
      </x:c>
      <x:c r="D21" s="55" t="n">
        <x:f>IF(B21="","",COUNTIFS('REQUESTS'!$F$11:$F$90,"&lt;="&amp;A21,'REQUESTS'!$G$11:$G$90,"&gt;="&amp;A21,'REQUESTS'!$J$11:$J$90,"Pending"))</x:f>
        <x:v>0</x:v>
      </x:c>
      <x:c r="E21" s="55" t="n">
        <x:f>IF(B21="","",COUNTIF('EMPLOYEES'!$F$11:$F$60,"Active")-C21)</x:f>
        <x:v>8</x:v>
      </x:c>
      <x:c r="F21" s="55" t="n">
        <x:f>IF(B21="","",SUM('SETUP'!$K$19:$K$23))</x:f>
        <x:v>5</x:v>
      </x:c>
      <x:c r="G21" s="55" t="n">
        <x:f>IF(B21="","",E21-F21)</x:f>
        <x:v>3</x:v>
      </x:c>
      <x:c r="H21" s="55" t="str">
        <x:f>IF(B21="","",IF(WEEKDAY(A21,2)&gt;5,"Weekend",IF(G21&lt;0,"At Risk","Covered")))</x:f>
        <x:v>Weekend</x:v>
      </x:c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76" t="n">
        <x:f>'SETUP'!$D$14+1</x:f>
        <x:v>46328</x:v>
      </x:c>
      <x:c r="B22" s="55" t="str">
        <x:f>IF(MONTH(A22)&lt;&gt;MONTH('SETUP'!$D$14),"",CHOOSE(WEEKDAY(A22,2),"Mon","Tue","Wed","Thu","Fri","Sat","Sun"))</x:f>
        <x:v>Mon</x:v>
      </x:c>
      <x:c r="C22" s="55" t="n">
        <x:f>IF(B22="","",COUNTIFS('REQUESTS'!$F$11:$F$90,"&lt;="&amp;A22,'REQUESTS'!$G$11:$G$90,"&gt;="&amp;A22,'REQUESTS'!$J$11:$J$90,"Approved"))</x:f>
        <x:v>0</x:v>
      </x:c>
      <x:c r="D22" s="55" t="n">
        <x:f>IF(B22="","",COUNTIFS('REQUESTS'!$F$11:$F$90,"&lt;="&amp;A22,'REQUESTS'!$G$11:$G$90,"&gt;="&amp;A22,'REQUESTS'!$J$11:$J$90,"Pending"))</x:f>
        <x:v>0</x:v>
      </x:c>
      <x:c r="E22" s="55" t="n">
        <x:f>IF(B22="","",COUNTIF('EMPLOYEES'!$F$11:$F$60,"Active")-C22)</x:f>
        <x:v>8</x:v>
      </x:c>
      <x:c r="F22" s="55" t="n">
        <x:f>IF(B22="","",SUM('SETUP'!$K$19:$K$23))</x:f>
        <x:v>5</x:v>
      </x:c>
      <x:c r="G22" s="55" t="n">
        <x:f>IF(B22="","",E22-F22)</x:f>
        <x:v>3</x:v>
      </x:c>
      <x:c r="H22" s="55" t="str">
        <x:f>IF(B22="","",IF(WEEKDAY(A22,2)&gt;5,"Weekend",IF(G22&lt;0,"At Risk","Covered")))</x:f>
        <x:v>Covered</x:v>
      </x:c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76" t="n">
        <x:f>'SETUP'!$D$14+2</x:f>
        <x:v>46329</x:v>
      </x:c>
      <x:c r="B23" s="55" t="str">
        <x:f>IF(MONTH(A23)&lt;&gt;MONTH('SETUP'!$D$14),"",CHOOSE(WEEKDAY(A23,2),"Mon","Tue","Wed","Thu","Fri","Sat","Sun"))</x:f>
        <x:v>Tue</x:v>
      </x:c>
      <x:c r="C23" s="55" t="n">
        <x:f>IF(B23="","",COUNTIFS('REQUESTS'!$F$11:$F$90,"&lt;="&amp;A23,'REQUESTS'!$G$11:$G$90,"&gt;="&amp;A23,'REQUESTS'!$J$11:$J$90,"Approved"))</x:f>
        <x:v>0</x:v>
      </x:c>
      <x:c r="D23" s="55" t="n">
        <x:f>IF(B23="","",COUNTIFS('REQUESTS'!$F$11:$F$90,"&lt;="&amp;A23,'REQUESTS'!$G$11:$G$90,"&gt;="&amp;A23,'REQUESTS'!$J$11:$J$90,"Pending"))</x:f>
        <x:v>0</x:v>
      </x:c>
      <x:c r="E23" s="55" t="n">
        <x:f>IF(B23="","",COUNTIF('EMPLOYEES'!$F$11:$F$60,"Active")-C23)</x:f>
        <x:v>8</x:v>
      </x:c>
      <x:c r="F23" s="55" t="n">
        <x:f>IF(B23="","",SUM('SETUP'!$K$19:$K$23))</x:f>
        <x:v>5</x:v>
      </x:c>
      <x:c r="G23" s="55" t="n">
        <x:f>IF(B23="","",E23-F23)</x:f>
        <x:v>3</x:v>
      </x:c>
      <x:c r="H23" s="55" t="str">
        <x:f>IF(B23="","",IF(WEEKDAY(A23,2)&gt;5,"Weekend",IF(G23&lt;0,"At Risk","Covered")))</x:f>
        <x:v>Covered</x:v>
      </x:c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76" t="n">
        <x:f>'SETUP'!$D$14+3</x:f>
        <x:v>46330</x:v>
      </x:c>
      <x:c r="B24" s="55" t="str">
        <x:f>IF(MONTH(A24)&lt;&gt;MONTH('SETUP'!$D$14),"",CHOOSE(WEEKDAY(A24,2),"Mon","Tue","Wed","Thu","Fri","Sat","Sun"))</x:f>
        <x:v>Wed</x:v>
      </x:c>
      <x:c r="C24" s="55" t="n">
        <x:f>IF(B24="","",COUNTIFS('REQUESTS'!$F$11:$F$90,"&lt;="&amp;A24,'REQUESTS'!$G$11:$G$90,"&gt;="&amp;A24,'REQUESTS'!$J$11:$J$90,"Approved"))</x:f>
        <x:v>0</x:v>
      </x:c>
      <x:c r="D24" s="55" t="n">
        <x:f>IF(B24="","",COUNTIFS('REQUESTS'!$F$11:$F$90,"&lt;="&amp;A24,'REQUESTS'!$G$11:$G$90,"&gt;="&amp;A24,'REQUESTS'!$J$11:$J$90,"Pending"))</x:f>
        <x:v>0</x:v>
      </x:c>
      <x:c r="E24" s="55" t="n">
        <x:f>IF(B24="","",COUNTIF('EMPLOYEES'!$F$11:$F$60,"Active")-C24)</x:f>
        <x:v>8</x:v>
      </x:c>
      <x:c r="F24" s="55" t="n">
        <x:f>IF(B24="","",SUM('SETUP'!$K$19:$K$23))</x:f>
        <x:v>5</x:v>
      </x:c>
      <x:c r="G24" s="55" t="n">
        <x:f>IF(B24="","",E24-F24)</x:f>
        <x:v>3</x:v>
      </x:c>
      <x:c r="H24" s="55" t="str">
        <x:f>IF(B24="","",IF(WEEKDAY(A24,2)&gt;5,"Weekend",IF(G24&lt;0,"At Risk","Covered")))</x:f>
        <x:v>Covered</x:v>
      </x:c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76" t="n">
        <x:f>'SETUP'!$D$14+4</x:f>
        <x:v>46331</x:v>
      </x:c>
      <x:c r="B25" s="55" t="str">
        <x:f>IF(MONTH(A25)&lt;&gt;MONTH('SETUP'!$D$14),"",CHOOSE(WEEKDAY(A25,2),"Mon","Tue","Wed","Thu","Fri","Sat","Sun"))</x:f>
        <x:v>Thu</x:v>
      </x:c>
      <x:c r="C25" s="55" t="n">
        <x:f>IF(B25="","",COUNTIFS('REQUESTS'!$F$11:$F$90,"&lt;="&amp;A25,'REQUESTS'!$G$11:$G$90,"&gt;="&amp;A25,'REQUESTS'!$J$11:$J$90,"Approved"))</x:f>
        <x:v>0</x:v>
      </x:c>
      <x:c r="D25" s="55" t="n">
        <x:f>IF(B25="","",COUNTIFS('REQUESTS'!$F$11:$F$90,"&lt;="&amp;A25,'REQUESTS'!$G$11:$G$90,"&gt;="&amp;A25,'REQUESTS'!$J$11:$J$90,"Pending"))</x:f>
        <x:v>0</x:v>
      </x:c>
      <x:c r="E25" s="55" t="n">
        <x:f>IF(B25="","",COUNTIF('EMPLOYEES'!$F$11:$F$60,"Active")-C25)</x:f>
        <x:v>8</x:v>
      </x:c>
      <x:c r="F25" s="55" t="n">
        <x:f>IF(B25="","",SUM('SETUP'!$K$19:$K$23))</x:f>
        <x:v>5</x:v>
      </x:c>
      <x:c r="G25" s="55" t="n">
        <x:f>IF(B25="","",E25-F25)</x:f>
        <x:v>3</x:v>
      </x:c>
      <x:c r="H25" s="55" t="str">
        <x:f>IF(B25="","",IF(WEEKDAY(A25,2)&gt;5,"Weekend",IF(G25&lt;0,"At Risk","Covered")))</x:f>
        <x:v>Covered</x:v>
      </x:c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76" t="n">
        <x:f>'SETUP'!$D$14+5</x:f>
        <x:v>46332</x:v>
      </x:c>
      <x:c r="B26" s="55" t="str">
        <x:f>IF(MONTH(A26)&lt;&gt;MONTH('SETUP'!$D$14),"",CHOOSE(WEEKDAY(A26,2),"Mon","Tue","Wed","Thu","Fri","Sat","Sun"))</x:f>
        <x:v>Fri</x:v>
      </x:c>
      <x:c r="C26" s="55" t="n">
        <x:f>IF(B26="","",COUNTIFS('REQUESTS'!$F$11:$F$90,"&lt;="&amp;A26,'REQUESTS'!$G$11:$G$90,"&gt;="&amp;A26,'REQUESTS'!$J$11:$J$90,"Approved"))</x:f>
        <x:v>0</x:v>
      </x:c>
      <x:c r="D26" s="55" t="n">
        <x:f>IF(B26="","",COUNTIFS('REQUESTS'!$F$11:$F$90,"&lt;="&amp;A26,'REQUESTS'!$G$11:$G$90,"&gt;="&amp;A26,'REQUESTS'!$J$11:$J$90,"Pending"))</x:f>
        <x:v>0</x:v>
      </x:c>
      <x:c r="E26" s="55" t="n">
        <x:f>IF(B26="","",COUNTIF('EMPLOYEES'!$F$11:$F$60,"Active")-C26)</x:f>
        <x:v>8</x:v>
      </x:c>
      <x:c r="F26" s="55" t="n">
        <x:f>IF(B26="","",SUM('SETUP'!$K$19:$K$23))</x:f>
        <x:v>5</x:v>
      </x:c>
      <x:c r="G26" s="55" t="n">
        <x:f>IF(B26="","",E26-F26)</x:f>
        <x:v>3</x:v>
      </x:c>
      <x:c r="H26" s="55" t="str">
        <x:f>IF(B26="","",IF(WEEKDAY(A26,2)&gt;5,"Weekend",IF(G26&lt;0,"At Risk","Covered")))</x:f>
        <x:v>Covered</x:v>
      </x:c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76" t="n">
        <x:f>'SETUP'!$D$14+6</x:f>
        <x:v>46333</x:v>
      </x:c>
      <x:c r="B27" s="55" t="str">
        <x:f>IF(MONTH(A27)&lt;&gt;MONTH('SETUP'!$D$14),"",CHOOSE(WEEKDAY(A27,2),"Mon","Tue","Wed","Thu","Fri","Sat","Sun"))</x:f>
        <x:v>Sat</x:v>
      </x:c>
      <x:c r="C27" s="55" t="n">
        <x:f>IF(B27="","",COUNTIFS('REQUESTS'!$F$11:$F$90,"&lt;="&amp;A27,'REQUESTS'!$G$11:$G$90,"&gt;="&amp;A27,'REQUESTS'!$J$11:$J$90,"Approved"))</x:f>
        <x:v>0</x:v>
      </x:c>
      <x:c r="D27" s="55" t="n">
        <x:f>IF(B27="","",COUNTIFS('REQUESTS'!$F$11:$F$90,"&lt;="&amp;A27,'REQUESTS'!$G$11:$G$90,"&gt;="&amp;A27,'REQUESTS'!$J$11:$J$90,"Pending"))</x:f>
        <x:v>0</x:v>
      </x:c>
      <x:c r="E27" s="55" t="n">
        <x:f>IF(B27="","",COUNTIF('EMPLOYEES'!$F$11:$F$60,"Active")-C27)</x:f>
        <x:v>8</x:v>
      </x:c>
      <x:c r="F27" s="55" t="n">
        <x:f>IF(B27="","",SUM('SETUP'!$K$19:$K$23))</x:f>
        <x:v>5</x:v>
      </x:c>
      <x:c r="G27" s="55" t="n">
        <x:f>IF(B27="","",E27-F27)</x:f>
        <x:v>3</x:v>
      </x:c>
      <x:c r="H27" s="55" t="str">
        <x:f>IF(B27="","",IF(WEEKDAY(A27,2)&gt;5,"Weekend",IF(G27&lt;0,"At Risk","Covered")))</x:f>
        <x:v>Weekend</x:v>
      </x:c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76" t="n">
        <x:f>'SETUP'!$D$14+7</x:f>
        <x:v>46334</x:v>
      </x:c>
      <x:c r="B28" s="55" t="str">
        <x:f>IF(MONTH(A28)&lt;&gt;MONTH('SETUP'!$D$14),"",CHOOSE(WEEKDAY(A28,2),"Mon","Tue","Wed","Thu","Fri","Sat","Sun"))</x:f>
        <x:v>Sun</x:v>
      </x:c>
      <x:c r="C28" s="55" t="n">
        <x:f>IF(B28="","",COUNTIFS('REQUESTS'!$F$11:$F$90,"&lt;="&amp;A28,'REQUESTS'!$G$11:$G$90,"&gt;="&amp;A28,'REQUESTS'!$J$11:$J$90,"Approved"))</x:f>
        <x:v>0</x:v>
      </x:c>
      <x:c r="D28" s="55" t="n">
        <x:f>IF(B28="","",COUNTIFS('REQUESTS'!$F$11:$F$90,"&lt;="&amp;A28,'REQUESTS'!$G$11:$G$90,"&gt;="&amp;A28,'REQUESTS'!$J$11:$J$90,"Pending"))</x:f>
        <x:v>0</x:v>
      </x:c>
      <x:c r="E28" s="55" t="n">
        <x:f>IF(B28="","",COUNTIF('EMPLOYEES'!$F$11:$F$60,"Active")-C28)</x:f>
        <x:v>8</x:v>
      </x:c>
      <x:c r="F28" s="55" t="n">
        <x:f>IF(B28="","",SUM('SETUP'!$K$19:$K$23))</x:f>
        <x:v>5</x:v>
      </x:c>
      <x:c r="G28" s="55" t="n">
        <x:f>IF(B28="","",E28-F28)</x:f>
        <x:v>3</x:v>
      </x:c>
      <x:c r="H28" s="55" t="str">
        <x:f>IF(B28="","",IF(WEEKDAY(A28,2)&gt;5,"Weekend",IF(G28&lt;0,"At Risk","Covered")))</x:f>
        <x:v>Weekend</x:v>
      </x:c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76" t="n">
        <x:f>'SETUP'!$D$14+8</x:f>
        <x:v>46335</x:v>
      </x:c>
      <x:c r="B29" s="55" t="str">
        <x:f>IF(MONTH(A29)&lt;&gt;MONTH('SETUP'!$D$14),"",CHOOSE(WEEKDAY(A29,2),"Mon","Tue","Wed","Thu","Fri","Sat","Sun"))</x:f>
        <x:v>Mon</x:v>
      </x:c>
      <x:c r="C29" s="55" t="n">
        <x:f>IF(B29="","",COUNTIFS('REQUESTS'!$F$11:$F$90,"&lt;="&amp;A29,'REQUESTS'!$G$11:$G$90,"&gt;="&amp;A29,'REQUESTS'!$J$11:$J$90,"Approved"))</x:f>
        <x:v>1</x:v>
      </x:c>
      <x:c r="D29" s="55" t="n">
        <x:f>IF(B29="","",COUNTIFS('REQUESTS'!$F$11:$F$90,"&lt;="&amp;A29,'REQUESTS'!$G$11:$G$90,"&gt;="&amp;A29,'REQUESTS'!$J$11:$J$90,"Pending"))</x:f>
        <x:v>0</x:v>
      </x:c>
      <x:c r="E29" s="55" t="n">
        <x:f>IF(B29="","",COUNTIF('EMPLOYEES'!$F$11:$F$60,"Active")-C29)</x:f>
        <x:v>7</x:v>
      </x:c>
      <x:c r="F29" s="55" t="n">
        <x:f>IF(B29="","",SUM('SETUP'!$K$19:$K$23))</x:f>
        <x:v>5</x:v>
      </x:c>
      <x:c r="G29" s="55" t="n">
        <x:f>IF(B29="","",E29-F29)</x:f>
        <x:v>2</x:v>
      </x:c>
      <x:c r="H29" s="55" t="str">
        <x:f>IF(B29="","",IF(WEEKDAY(A29,2)&gt;5,"Weekend",IF(G29&lt;0,"At Risk","Covered")))</x:f>
        <x:v>Covered</x:v>
      </x:c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76" t="n">
        <x:f>'SETUP'!$D$14+9</x:f>
        <x:v>46336</x:v>
      </x:c>
      <x:c r="B30" s="55" t="str">
        <x:f>IF(MONTH(A30)&lt;&gt;MONTH('SETUP'!$D$14),"",CHOOSE(WEEKDAY(A30,2),"Mon","Tue","Wed","Thu","Fri","Sat","Sun"))</x:f>
        <x:v>Tue</x:v>
      </x:c>
      <x:c r="C30" s="55" t="n">
        <x:f>IF(B30="","",COUNTIFS('REQUESTS'!$F$11:$F$90,"&lt;="&amp;A30,'REQUESTS'!$G$11:$G$90,"&gt;="&amp;A30,'REQUESTS'!$J$11:$J$90,"Approved"))</x:f>
        <x:v>1</x:v>
      </x:c>
      <x:c r="D30" s="55" t="n">
        <x:f>IF(B30="","",COUNTIFS('REQUESTS'!$F$11:$F$90,"&lt;="&amp;A30,'REQUESTS'!$G$11:$G$90,"&gt;="&amp;A30,'REQUESTS'!$J$11:$J$90,"Pending"))</x:f>
        <x:v>0</x:v>
      </x:c>
      <x:c r="E30" s="55" t="n">
        <x:f>IF(B30="","",COUNTIF('EMPLOYEES'!$F$11:$F$60,"Active")-C30)</x:f>
        <x:v>7</x:v>
      </x:c>
      <x:c r="F30" s="55" t="n">
        <x:f>IF(B30="","",SUM('SETUP'!$K$19:$K$23))</x:f>
        <x:v>5</x:v>
      </x:c>
      <x:c r="G30" s="55" t="n">
        <x:f>IF(B30="","",E30-F30)</x:f>
        <x:v>2</x:v>
      </x:c>
      <x:c r="H30" s="55" t="str">
        <x:f>IF(B30="","",IF(WEEKDAY(A30,2)&gt;5,"Weekend",IF(G30&lt;0,"At Risk","Covered")))</x:f>
        <x:v>Covered</x:v>
      </x:c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76" t="n">
        <x:f>'SETUP'!$D$14+10</x:f>
        <x:v>46337</x:v>
      </x:c>
      <x:c r="B31" s="55" t="str">
        <x:f>IF(MONTH(A31)&lt;&gt;MONTH('SETUP'!$D$14),"",CHOOSE(WEEKDAY(A31,2),"Mon","Tue","Wed","Thu","Fri","Sat","Sun"))</x:f>
        <x:v>Wed</x:v>
      </x:c>
      <x:c r="C31" s="55" t="n">
        <x:f>IF(B31="","",COUNTIFS('REQUESTS'!$F$11:$F$90,"&lt;="&amp;A31,'REQUESTS'!$G$11:$G$90,"&gt;="&amp;A31,'REQUESTS'!$J$11:$J$90,"Approved"))</x:f>
        <x:v>1</x:v>
      </x:c>
      <x:c r="D31" s="55" t="n">
        <x:f>IF(B31="","",COUNTIFS('REQUESTS'!$F$11:$F$90,"&lt;="&amp;A31,'REQUESTS'!$G$11:$G$90,"&gt;="&amp;A31,'REQUESTS'!$J$11:$J$90,"Pending"))</x:f>
        <x:v>0</x:v>
      </x:c>
      <x:c r="E31" s="55" t="n">
        <x:f>IF(B31="","",COUNTIF('EMPLOYEES'!$F$11:$F$60,"Active")-C31)</x:f>
        <x:v>7</x:v>
      </x:c>
      <x:c r="F31" s="55" t="n">
        <x:f>IF(B31="","",SUM('SETUP'!$K$19:$K$23))</x:f>
        <x:v>5</x:v>
      </x:c>
      <x:c r="G31" s="55" t="n">
        <x:f>IF(B31="","",E31-F31)</x:f>
        <x:v>2</x:v>
      </x:c>
      <x:c r="H31" s="55" t="str">
        <x:f>IF(B31="","",IF(WEEKDAY(A31,2)&gt;5,"Weekend",IF(G31&lt;0,"At Risk","Covered")))</x:f>
        <x:v>Covered</x:v>
      </x:c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76" t="n">
        <x:f>'SETUP'!$D$14+11</x:f>
        <x:v>46338</x:v>
      </x:c>
      <x:c r="B32" s="55" t="str">
        <x:f>IF(MONTH(A32)&lt;&gt;MONTH('SETUP'!$D$14),"",CHOOSE(WEEKDAY(A32,2),"Mon","Tue","Wed","Thu","Fri","Sat","Sun"))</x:f>
        <x:v>Thu</x:v>
      </x:c>
      <x:c r="C32" s="55" t="n">
        <x:f>IF(B32="","",COUNTIFS('REQUESTS'!$F$11:$F$90,"&lt;="&amp;A32,'REQUESTS'!$G$11:$G$90,"&gt;="&amp;A32,'REQUESTS'!$J$11:$J$90,"Approved"))</x:f>
        <x:v>0</x:v>
      </x:c>
      <x:c r="D32" s="55" t="n">
        <x:f>IF(B32="","",COUNTIFS('REQUESTS'!$F$11:$F$90,"&lt;="&amp;A32,'REQUESTS'!$G$11:$G$90,"&gt;="&amp;A32,'REQUESTS'!$J$11:$J$90,"Pending"))</x:f>
        <x:v>1</x:v>
      </x:c>
      <x:c r="E32" s="55" t="n">
        <x:f>IF(B32="","",COUNTIF('EMPLOYEES'!$F$11:$F$60,"Active")-C32)</x:f>
        <x:v>8</x:v>
      </x:c>
      <x:c r="F32" s="55" t="n">
        <x:f>IF(B32="","",SUM('SETUP'!$K$19:$K$23))</x:f>
        <x:v>5</x:v>
      </x:c>
      <x:c r="G32" s="55" t="n">
        <x:f>IF(B32="","",E32-F32)</x:f>
        <x:v>3</x:v>
      </x:c>
      <x:c r="H32" s="55" t="str">
        <x:f>IF(B32="","",IF(WEEKDAY(A32,2)&gt;5,"Weekend",IF(G32&lt;0,"At Risk","Covered")))</x:f>
        <x:v>Covered</x:v>
      </x:c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76" t="n">
        <x:f>'SETUP'!$D$14+12</x:f>
        <x:v>46339</x:v>
      </x:c>
      <x:c r="B33" s="55" t="str">
        <x:f>IF(MONTH(A33)&lt;&gt;MONTH('SETUP'!$D$14),"",CHOOSE(WEEKDAY(A33,2),"Mon","Tue","Wed","Thu","Fri","Sat","Sun"))</x:f>
        <x:v>Fri</x:v>
      </x:c>
      <x:c r="C33" s="55" t="n">
        <x:f>IF(B33="","",COUNTIFS('REQUESTS'!$F$11:$F$90,"&lt;="&amp;A33,'REQUESTS'!$G$11:$G$90,"&gt;="&amp;A33,'REQUESTS'!$J$11:$J$90,"Approved"))</x:f>
        <x:v>0</x:v>
      </x:c>
      <x:c r="D33" s="55" t="n">
        <x:f>IF(B33="","",COUNTIFS('REQUESTS'!$F$11:$F$90,"&lt;="&amp;A33,'REQUESTS'!$G$11:$G$90,"&gt;="&amp;A33,'REQUESTS'!$J$11:$J$90,"Pending"))</x:f>
        <x:v>0</x:v>
      </x:c>
      <x:c r="E33" s="55" t="n">
        <x:f>IF(B33="","",COUNTIF('EMPLOYEES'!$F$11:$F$60,"Active")-C33)</x:f>
        <x:v>8</x:v>
      </x:c>
      <x:c r="F33" s="55" t="n">
        <x:f>IF(B33="","",SUM('SETUP'!$K$19:$K$23))</x:f>
        <x:v>5</x:v>
      </x:c>
      <x:c r="G33" s="55" t="n">
        <x:f>IF(B33="","",E33-F33)</x:f>
        <x:v>3</x:v>
      </x:c>
      <x:c r="H33" s="55" t="str">
        <x:f>IF(B33="","",IF(WEEKDAY(A33,2)&gt;5,"Weekend",IF(G33&lt;0,"At Risk","Covered")))</x:f>
        <x:v>Covered</x:v>
      </x:c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76" t="n">
        <x:f>'SETUP'!$D$14+13</x:f>
        <x:v>46340</x:v>
      </x:c>
      <x:c r="B34" s="55" t="str">
        <x:f>IF(MONTH(A34)&lt;&gt;MONTH('SETUP'!$D$14),"",CHOOSE(WEEKDAY(A34,2),"Mon","Tue","Wed","Thu","Fri","Sat","Sun"))</x:f>
        <x:v>Sat</x:v>
      </x:c>
      <x:c r="C34" s="55" t="n">
        <x:f>IF(B34="","",COUNTIFS('REQUESTS'!$F$11:$F$90,"&lt;="&amp;A34,'REQUESTS'!$G$11:$G$90,"&gt;="&amp;A34,'REQUESTS'!$J$11:$J$90,"Approved"))</x:f>
        <x:v>0</x:v>
      </x:c>
      <x:c r="D34" s="55" t="n">
        <x:f>IF(B34="","",COUNTIFS('REQUESTS'!$F$11:$F$90,"&lt;="&amp;A34,'REQUESTS'!$G$11:$G$90,"&gt;="&amp;A34,'REQUESTS'!$J$11:$J$90,"Pending"))</x:f>
        <x:v>0</x:v>
      </x:c>
      <x:c r="E34" s="55" t="n">
        <x:f>IF(B34="","",COUNTIF('EMPLOYEES'!$F$11:$F$60,"Active")-C34)</x:f>
        <x:v>8</x:v>
      </x:c>
      <x:c r="F34" s="55" t="n">
        <x:f>IF(B34="","",SUM('SETUP'!$K$19:$K$23))</x:f>
        <x:v>5</x:v>
      </x:c>
      <x:c r="G34" s="55" t="n">
        <x:f>IF(B34="","",E34-F34)</x:f>
        <x:v>3</x:v>
      </x:c>
      <x:c r="H34" s="55" t="str">
        <x:f>IF(B34="","",IF(WEEKDAY(A34,2)&gt;5,"Weekend",IF(G34&lt;0,"At Risk","Covered")))</x:f>
        <x:v>Weekend</x:v>
      </x:c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76" t="n">
        <x:f>'SETUP'!$D$14+14</x:f>
        <x:v>46341</x:v>
      </x:c>
      <x:c r="B35" s="55" t="str">
        <x:f>IF(MONTH(A35)&lt;&gt;MONTH('SETUP'!$D$14),"",CHOOSE(WEEKDAY(A35,2),"Mon","Tue","Wed","Thu","Fri","Sat","Sun"))</x:f>
        <x:v>Sun</x:v>
      </x:c>
      <x:c r="C35" s="55" t="n">
        <x:f>IF(B35="","",COUNTIFS('REQUESTS'!$F$11:$F$90,"&lt;="&amp;A35,'REQUESTS'!$G$11:$G$90,"&gt;="&amp;A35,'REQUESTS'!$J$11:$J$90,"Approved"))</x:f>
        <x:v>0</x:v>
      </x:c>
      <x:c r="D35" s="55" t="n">
        <x:f>IF(B35="","",COUNTIFS('REQUESTS'!$F$11:$F$90,"&lt;="&amp;A35,'REQUESTS'!$G$11:$G$90,"&gt;="&amp;A35,'REQUESTS'!$J$11:$J$90,"Pending"))</x:f>
        <x:v>0</x:v>
      </x:c>
      <x:c r="E35" s="55" t="n">
        <x:f>IF(B35="","",COUNTIF('EMPLOYEES'!$F$11:$F$60,"Active")-C35)</x:f>
        <x:v>8</x:v>
      </x:c>
      <x:c r="F35" s="55" t="n">
        <x:f>IF(B35="","",SUM('SETUP'!$K$19:$K$23))</x:f>
        <x:v>5</x:v>
      </x:c>
      <x:c r="G35" s="55" t="n">
        <x:f>IF(B35="","",E35-F35)</x:f>
        <x:v>3</x:v>
      </x:c>
      <x:c r="H35" s="55" t="str">
        <x:f>IF(B35="","",IF(WEEKDAY(A35,2)&gt;5,"Weekend",IF(G35&lt;0,"At Risk","Covered")))</x:f>
        <x:v>Weekend</x:v>
      </x:c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76" t="n">
        <x:f>'SETUP'!$D$14+15</x:f>
        <x:v>46342</x:v>
      </x:c>
      <x:c r="B36" s="55" t="str">
        <x:f>IF(MONTH(A36)&lt;&gt;MONTH('SETUP'!$D$14),"",CHOOSE(WEEKDAY(A36,2),"Mon","Tue","Wed","Thu","Fri","Sat","Sun"))</x:f>
        <x:v>Mon</x:v>
      </x:c>
      <x:c r="C36" s="55" t="n">
        <x:f>IF(B36="","",COUNTIFS('REQUESTS'!$F$11:$F$90,"&lt;="&amp;A36,'REQUESTS'!$G$11:$G$90,"&gt;="&amp;A36,'REQUESTS'!$J$11:$J$90,"Approved"))</x:f>
        <x:v>0</x:v>
      </x:c>
      <x:c r="D36" s="55" t="n">
        <x:f>IF(B36="","",COUNTIFS('REQUESTS'!$F$11:$F$90,"&lt;="&amp;A36,'REQUESTS'!$G$11:$G$90,"&gt;="&amp;A36,'REQUESTS'!$J$11:$J$90,"Pending"))</x:f>
        <x:v>1</x:v>
      </x:c>
      <x:c r="E36" s="55" t="n">
        <x:f>IF(B36="","",COUNTIF('EMPLOYEES'!$F$11:$F$60,"Active")-C36)</x:f>
        <x:v>8</x:v>
      </x:c>
      <x:c r="F36" s="55" t="n">
        <x:f>IF(B36="","",SUM('SETUP'!$K$19:$K$23))</x:f>
        <x:v>5</x:v>
      </x:c>
      <x:c r="G36" s="55" t="n">
        <x:f>IF(B36="","",E36-F36)</x:f>
        <x:v>3</x:v>
      </x:c>
      <x:c r="H36" s="55" t="str">
        <x:f>IF(B36="","",IF(WEEKDAY(A36,2)&gt;5,"Weekend",IF(G36&lt;0,"At Risk","Covered")))</x:f>
        <x:v>Covered</x:v>
      </x:c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76" t="n">
        <x:f>'SETUP'!$D$14+16</x:f>
        <x:v>46343</x:v>
      </x:c>
      <x:c r="B37" s="55" t="str">
        <x:f>IF(MONTH(A37)&lt;&gt;MONTH('SETUP'!$D$14),"",CHOOSE(WEEKDAY(A37,2),"Mon","Tue","Wed","Thu","Fri","Sat","Sun"))</x:f>
        <x:v>Tue</x:v>
      </x:c>
      <x:c r="C37" s="55" t="n">
        <x:f>IF(B37="","",COUNTIFS('REQUESTS'!$F$11:$F$90,"&lt;="&amp;A37,'REQUESTS'!$G$11:$G$90,"&gt;="&amp;A37,'REQUESTS'!$J$11:$J$90,"Approved"))</x:f>
        <x:v>0</x:v>
      </x:c>
      <x:c r="D37" s="55" t="n">
        <x:f>IF(B37="","",COUNTIFS('REQUESTS'!$F$11:$F$90,"&lt;="&amp;A37,'REQUESTS'!$G$11:$G$90,"&gt;="&amp;A37,'REQUESTS'!$J$11:$J$90,"Pending"))</x:f>
        <x:v>1</x:v>
      </x:c>
      <x:c r="E37" s="55" t="n">
        <x:f>IF(B37="","",COUNTIF('EMPLOYEES'!$F$11:$F$60,"Active")-C37)</x:f>
        <x:v>8</x:v>
      </x:c>
      <x:c r="F37" s="55" t="n">
        <x:f>IF(B37="","",SUM('SETUP'!$K$19:$K$23))</x:f>
        <x:v>5</x:v>
      </x:c>
      <x:c r="G37" s="55" t="n">
        <x:f>IF(B37="","",E37-F37)</x:f>
        <x:v>3</x:v>
      </x:c>
      <x:c r="H37" s="55" t="str">
        <x:f>IF(B37="","",IF(WEEKDAY(A37,2)&gt;5,"Weekend",IF(G37&lt;0,"At Risk","Covered")))</x:f>
        <x:v>Covered</x:v>
      </x:c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76" t="n">
        <x:f>'SETUP'!$D$14+17</x:f>
        <x:v>46344</x:v>
      </x:c>
      <x:c r="B38" s="55" t="str">
        <x:f>IF(MONTH(A38)&lt;&gt;MONTH('SETUP'!$D$14),"",CHOOSE(WEEKDAY(A38,2),"Mon","Tue","Wed","Thu","Fri","Sat","Sun"))</x:f>
        <x:v>Wed</x:v>
      </x:c>
      <x:c r="C38" s="55" t="n">
        <x:f>IF(B38="","",COUNTIFS('REQUESTS'!$F$11:$F$90,"&lt;="&amp;A38,'REQUESTS'!$G$11:$G$90,"&gt;="&amp;A38,'REQUESTS'!$J$11:$J$90,"Approved"))</x:f>
        <x:v>0</x:v>
      </x:c>
      <x:c r="D38" s="55" t="n">
        <x:f>IF(B38="","",COUNTIFS('REQUESTS'!$F$11:$F$90,"&lt;="&amp;A38,'REQUESTS'!$G$11:$G$90,"&gt;="&amp;A38,'REQUESTS'!$J$11:$J$90,"Pending"))</x:f>
        <x:v>1</x:v>
      </x:c>
      <x:c r="E38" s="55" t="n">
        <x:f>IF(B38="","",COUNTIF('EMPLOYEES'!$F$11:$F$60,"Active")-C38)</x:f>
        <x:v>8</x:v>
      </x:c>
      <x:c r="F38" s="55" t="n">
        <x:f>IF(B38="","",SUM('SETUP'!$K$19:$K$23))</x:f>
        <x:v>5</x:v>
      </x:c>
      <x:c r="G38" s="55" t="n">
        <x:f>IF(B38="","",E38-F38)</x:f>
        <x:v>3</x:v>
      </x:c>
      <x:c r="H38" s="55" t="str">
        <x:f>IF(B38="","",IF(WEEKDAY(A38,2)&gt;5,"Weekend",IF(G38&lt;0,"At Risk","Covered")))</x:f>
        <x:v>Covered</x:v>
      </x:c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76" t="n">
        <x:f>'SETUP'!$D$14+18</x:f>
        <x:v>46345</x:v>
      </x:c>
      <x:c r="B39" s="55" t="str">
        <x:f>IF(MONTH(A39)&lt;&gt;MONTH('SETUP'!$D$14),"",CHOOSE(WEEKDAY(A39,2),"Mon","Tue","Wed","Thu","Fri","Sat","Sun"))</x:f>
        <x:v>Thu</x:v>
      </x:c>
      <x:c r="C39" s="55" t="n">
        <x:f>IF(B39="","",COUNTIFS('REQUESTS'!$F$11:$F$90,"&lt;="&amp;A39,'REQUESTS'!$G$11:$G$90,"&gt;="&amp;A39,'REQUESTS'!$J$11:$J$90,"Approved"))</x:f>
        <x:v>0</x:v>
      </x:c>
      <x:c r="D39" s="55" t="n">
        <x:f>IF(B39="","",COUNTIFS('REQUESTS'!$F$11:$F$90,"&lt;="&amp;A39,'REQUESTS'!$G$11:$G$90,"&gt;="&amp;A39,'REQUESTS'!$J$11:$J$90,"Pending"))</x:f>
        <x:v>0</x:v>
      </x:c>
      <x:c r="E39" s="55" t="n">
        <x:f>IF(B39="","",COUNTIF('EMPLOYEES'!$F$11:$F$60,"Active")-C39)</x:f>
        <x:v>8</x:v>
      </x:c>
      <x:c r="F39" s="55" t="n">
        <x:f>IF(B39="","",SUM('SETUP'!$K$19:$K$23))</x:f>
        <x:v>5</x:v>
      </x:c>
      <x:c r="G39" s="55" t="n">
        <x:f>IF(B39="","",E39-F39)</x:f>
        <x:v>3</x:v>
      </x:c>
      <x:c r="H39" s="55" t="str">
        <x:f>IF(B39="","",IF(WEEKDAY(A39,2)&gt;5,"Weekend",IF(G39&lt;0,"At Risk","Covered")))</x:f>
        <x:v>Covered</x:v>
      </x:c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76" t="n">
        <x:f>'SETUP'!$D$14+19</x:f>
        <x:v>46346</x:v>
      </x:c>
      <x:c r="B40" s="55" t="str">
        <x:f>IF(MONTH(A40)&lt;&gt;MONTH('SETUP'!$D$14),"",CHOOSE(WEEKDAY(A40,2),"Mon","Tue","Wed","Thu","Fri","Sat","Sun"))</x:f>
        <x:v>Fri</x:v>
      </x:c>
      <x:c r="C40" s="55" t="n">
        <x:f>IF(B40="","",COUNTIFS('REQUESTS'!$F$11:$F$90,"&lt;="&amp;A40,'REQUESTS'!$G$11:$G$90,"&gt;="&amp;A40,'REQUESTS'!$J$11:$J$90,"Approved"))</x:f>
        <x:v>0</x:v>
      </x:c>
      <x:c r="D40" s="55" t="n">
        <x:f>IF(B40="","",COUNTIFS('REQUESTS'!$F$11:$F$90,"&lt;="&amp;A40,'REQUESTS'!$G$11:$G$90,"&gt;="&amp;A40,'REQUESTS'!$J$11:$J$90,"Pending"))</x:f>
        <x:v>0</x:v>
      </x:c>
      <x:c r="E40" s="55" t="n">
        <x:f>IF(B40="","",COUNTIF('EMPLOYEES'!$F$11:$F$60,"Active")-C40)</x:f>
        <x:v>8</x:v>
      </x:c>
      <x:c r="F40" s="55" t="n">
        <x:f>IF(B40="","",SUM('SETUP'!$K$19:$K$23))</x:f>
        <x:v>5</x:v>
      </x:c>
      <x:c r="G40" s="55" t="n">
        <x:f>IF(B40="","",E40-F40)</x:f>
        <x:v>3</x:v>
      </x:c>
      <x:c r="H40" s="55" t="str">
        <x:f>IF(B40="","",IF(WEEKDAY(A40,2)&gt;5,"Weekend",IF(G40&lt;0,"At Risk","Covered")))</x:f>
        <x:v>Covered</x:v>
      </x:c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76" t="n">
        <x:f>'SETUP'!$D$14+20</x:f>
        <x:v>46347</x:v>
      </x:c>
      <x:c r="B41" s="55" t="str">
        <x:f>IF(MONTH(A41)&lt;&gt;MONTH('SETUP'!$D$14),"",CHOOSE(WEEKDAY(A41,2),"Mon","Tue","Wed","Thu","Fri","Sat","Sun"))</x:f>
        <x:v>Sat</x:v>
      </x:c>
      <x:c r="C41" s="55" t="n">
        <x:f>IF(B41="","",COUNTIFS('REQUESTS'!$F$11:$F$90,"&lt;="&amp;A41,'REQUESTS'!$G$11:$G$90,"&gt;="&amp;A41,'REQUESTS'!$J$11:$J$90,"Approved"))</x:f>
        <x:v>0</x:v>
      </x:c>
      <x:c r="D41" s="55" t="n">
        <x:f>IF(B41="","",COUNTIFS('REQUESTS'!$F$11:$F$90,"&lt;="&amp;A41,'REQUESTS'!$G$11:$G$90,"&gt;="&amp;A41,'REQUESTS'!$J$11:$J$90,"Pending"))</x:f>
        <x:v>0</x:v>
      </x:c>
      <x:c r="E41" s="55" t="n">
        <x:f>IF(B41="","",COUNTIF('EMPLOYEES'!$F$11:$F$60,"Active")-C41)</x:f>
        <x:v>8</x:v>
      </x:c>
      <x:c r="F41" s="55" t="n">
        <x:f>IF(B41="","",SUM('SETUP'!$K$19:$K$23))</x:f>
        <x:v>5</x:v>
      </x:c>
      <x:c r="G41" s="55" t="n">
        <x:f>IF(B41="","",E41-F41)</x:f>
        <x:v>3</x:v>
      </x:c>
      <x:c r="H41" s="55" t="str">
        <x:f>IF(B41="","",IF(WEEKDAY(A41,2)&gt;5,"Weekend",IF(G41&lt;0,"At Risk","Covered")))</x:f>
        <x:v>Weekend</x:v>
      </x:c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76" t="n">
        <x:f>'SETUP'!$D$14+21</x:f>
        <x:v>46348</x:v>
      </x:c>
      <x:c r="B42" s="55" t="str">
        <x:f>IF(MONTH(A42)&lt;&gt;MONTH('SETUP'!$D$14),"",CHOOSE(WEEKDAY(A42,2),"Mon","Tue","Wed","Thu","Fri","Sat","Sun"))</x:f>
        <x:v>Sun</x:v>
      </x:c>
      <x:c r="C42" s="55" t="n">
        <x:f>IF(B42="","",COUNTIFS('REQUESTS'!$F$11:$F$90,"&lt;="&amp;A42,'REQUESTS'!$G$11:$G$90,"&gt;="&amp;A42,'REQUESTS'!$J$11:$J$90,"Approved"))</x:f>
        <x:v>0</x:v>
      </x:c>
      <x:c r="D42" s="55" t="n">
        <x:f>IF(B42="","",COUNTIFS('REQUESTS'!$F$11:$F$90,"&lt;="&amp;A42,'REQUESTS'!$G$11:$G$90,"&gt;="&amp;A42,'REQUESTS'!$J$11:$J$90,"Pending"))</x:f>
        <x:v>0</x:v>
      </x:c>
      <x:c r="E42" s="55" t="n">
        <x:f>IF(B42="","",COUNTIF('EMPLOYEES'!$F$11:$F$60,"Active")-C42)</x:f>
        <x:v>8</x:v>
      </x:c>
      <x:c r="F42" s="55" t="n">
        <x:f>IF(B42="","",SUM('SETUP'!$K$19:$K$23))</x:f>
        <x:v>5</x:v>
      </x:c>
      <x:c r="G42" s="55" t="n">
        <x:f>IF(B42="","",E42-F42)</x:f>
        <x:v>3</x:v>
      </x:c>
      <x:c r="H42" s="55" t="str">
        <x:f>IF(B42="","",IF(WEEKDAY(A42,2)&gt;5,"Weekend",IF(G42&lt;0,"At Risk","Covered")))</x:f>
        <x:v>Weekend</x:v>
      </x:c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76" t="n">
        <x:f>'SETUP'!$D$14+22</x:f>
        <x:v>46349</x:v>
      </x:c>
      <x:c r="B43" s="55" t="str">
        <x:f>IF(MONTH(A43)&lt;&gt;MONTH('SETUP'!$D$14),"",CHOOSE(WEEKDAY(A43,2),"Mon","Tue","Wed","Thu","Fri","Sat","Sun"))</x:f>
        <x:v>Mon</x:v>
      </x:c>
      <x:c r="C43" s="55" t="n">
        <x:f>IF(B43="","",COUNTIFS('REQUESTS'!$F$11:$F$90,"&lt;="&amp;A43,'REQUESTS'!$G$11:$G$90,"&gt;="&amp;A43,'REQUESTS'!$J$11:$J$90,"Approved"))</x:f>
        <x:v>0</x:v>
      </x:c>
      <x:c r="D43" s="55" t="n">
        <x:f>IF(B43="","",COUNTIFS('REQUESTS'!$F$11:$F$90,"&lt;="&amp;A43,'REQUESTS'!$G$11:$G$90,"&gt;="&amp;A43,'REQUESTS'!$J$11:$J$90,"Pending"))</x:f>
        <x:v>1</x:v>
      </x:c>
      <x:c r="E43" s="55" t="n">
        <x:f>IF(B43="","",COUNTIF('EMPLOYEES'!$F$11:$F$60,"Active")-C43)</x:f>
        <x:v>8</x:v>
      </x:c>
      <x:c r="F43" s="55" t="n">
        <x:f>IF(B43="","",SUM('SETUP'!$K$19:$K$23))</x:f>
        <x:v>5</x:v>
      </x:c>
      <x:c r="G43" s="55" t="n">
        <x:f>IF(B43="","",E43-F43)</x:f>
        <x:v>3</x:v>
      </x:c>
      <x:c r="H43" s="55" t="str">
        <x:f>IF(B43="","",IF(WEEKDAY(A43,2)&gt;5,"Weekend",IF(G43&lt;0,"At Risk","Covered")))</x:f>
        <x:v>Covered</x:v>
      </x:c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76" t="n">
        <x:f>'SETUP'!$D$14+23</x:f>
        <x:v>46350</x:v>
      </x:c>
      <x:c r="B44" s="55" t="str">
        <x:f>IF(MONTH(A44)&lt;&gt;MONTH('SETUP'!$D$14),"",CHOOSE(WEEKDAY(A44,2),"Mon","Tue","Wed","Thu","Fri","Sat","Sun"))</x:f>
        <x:v>Tue</x:v>
      </x:c>
      <x:c r="C44" s="55" t="n">
        <x:f>IF(B44="","",COUNTIFS('REQUESTS'!$F$11:$F$90,"&lt;="&amp;A44,'REQUESTS'!$G$11:$G$90,"&gt;="&amp;A44,'REQUESTS'!$J$11:$J$90,"Approved"))</x:f>
        <x:v>0</x:v>
      </x:c>
      <x:c r="D44" s="55" t="n">
        <x:f>IF(B44="","",COUNTIFS('REQUESTS'!$F$11:$F$90,"&lt;="&amp;A44,'REQUESTS'!$G$11:$G$90,"&gt;="&amp;A44,'REQUESTS'!$J$11:$J$90,"Pending"))</x:f>
        <x:v>1</x:v>
      </x:c>
      <x:c r="E44" s="55" t="n">
        <x:f>IF(B44="","",COUNTIF('EMPLOYEES'!$F$11:$F$60,"Active")-C44)</x:f>
        <x:v>8</x:v>
      </x:c>
      <x:c r="F44" s="55" t="n">
        <x:f>IF(B44="","",SUM('SETUP'!$K$19:$K$23))</x:f>
        <x:v>5</x:v>
      </x:c>
      <x:c r="G44" s="55" t="n">
        <x:f>IF(B44="","",E44-F44)</x:f>
        <x:v>3</x:v>
      </x:c>
      <x:c r="H44" s="55" t="str">
        <x:f>IF(B44="","",IF(WEEKDAY(A44,2)&gt;5,"Weekend",IF(G44&lt;0,"At Risk","Covered")))</x:f>
        <x:v>Covered</x:v>
      </x:c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76" t="n">
        <x:f>'SETUP'!$D$14+24</x:f>
        <x:v>46351</x:v>
      </x:c>
      <x:c r="B45" s="55" t="str">
        <x:f>IF(MONTH(A45)&lt;&gt;MONTH('SETUP'!$D$14),"",CHOOSE(WEEKDAY(A45,2),"Mon","Tue","Wed","Thu","Fri","Sat","Sun"))</x:f>
        <x:v>Wed</x:v>
      </x:c>
      <x:c r="C45" s="55" t="n">
        <x:f>IF(B45="","",COUNTIFS('REQUESTS'!$F$11:$F$90,"&lt;="&amp;A45,'REQUESTS'!$G$11:$G$90,"&gt;="&amp;A45,'REQUESTS'!$J$11:$J$90,"Approved"))</x:f>
        <x:v>0</x:v>
      </x:c>
      <x:c r="D45" s="55" t="n">
        <x:f>IF(B45="","",COUNTIFS('REQUESTS'!$F$11:$F$90,"&lt;="&amp;A45,'REQUESTS'!$G$11:$G$90,"&gt;="&amp;A45,'REQUESTS'!$J$11:$J$90,"Pending"))</x:f>
        <x:v>1</x:v>
      </x:c>
      <x:c r="E45" s="55" t="n">
        <x:f>IF(B45="","",COUNTIF('EMPLOYEES'!$F$11:$F$60,"Active")-C45)</x:f>
        <x:v>8</x:v>
      </x:c>
      <x:c r="F45" s="55" t="n">
        <x:f>IF(B45="","",SUM('SETUP'!$K$19:$K$23))</x:f>
        <x:v>5</x:v>
      </x:c>
      <x:c r="G45" s="55" t="n">
        <x:f>IF(B45="","",E45-F45)</x:f>
        <x:v>3</x:v>
      </x:c>
      <x:c r="H45" s="55" t="str">
        <x:f>IF(B45="","",IF(WEEKDAY(A45,2)&gt;5,"Weekend",IF(G45&lt;0,"At Risk","Covered")))</x:f>
        <x:v>Covered</x:v>
      </x:c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76" t="n">
        <x:f>'SETUP'!$D$14+25</x:f>
        <x:v>46352</x:v>
      </x:c>
      <x:c r="B46" s="55" t="str">
        <x:f>IF(MONTH(A46)&lt;&gt;MONTH('SETUP'!$D$14),"",CHOOSE(WEEKDAY(A46,2),"Mon","Tue","Wed","Thu","Fri","Sat","Sun"))</x:f>
        <x:v>Thu</x:v>
      </x:c>
      <x:c r="C46" s="55" t="n">
        <x:f>IF(B46="","",COUNTIFS('REQUESTS'!$F$11:$F$90,"&lt;="&amp;A46,'REQUESTS'!$G$11:$G$90,"&gt;="&amp;A46,'REQUESTS'!$J$11:$J$90,"Approved"))</x:f>
        <x:v>0</x:v>
      </x:c>
      <x:c r="D46" s="55" t="n">
        <x:f>IF(B46="","",COUNTIFS('REQUESTS'!$F$11:$F$90,"&lt;="&amp;A46,'REQUESTS'!$G$11:$G$90,"&gt;="&amp;A46,'REQUESTS'!$J$11:$J$90,"Pending"))</x:f>
        <x:v>1</x:v>
      </x:c>
      <x:c r="E46" s="55" t="n">
        <x:f>IF(B46="","",COUNTIF('EMPLOYEES'!$F$11:$F$60,"Active")-C46)</x:f>
        <x:v>8</x:v>
      </x:c>
      <x:c r="F46" s="55" t="n">
        <x:f>IF(B46="","",SUM('SETUP'!$K$19:$K$23))</x:f>
        <x:v>5</x:v>
      </x:c>
      <x:c r="G46" s="55" t="n">
        <x:f>IF(B46="","",E46-F46)</x:f>
        <x:v>3</x:v>
      </x:c>
      <x:c r="H46" s="55" t="str">
        <x:f>IF(B46="","",IF(WEEKDAY(A46,2)&gt;5,"Weekend",IF(G46&lt;0,"At Risk","Covered")))</x:f>
        <x:v>Covered</x:v>
      </x:c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76" t="n">
        <x:f>'SETUP'!$D$14+26</x:f>
        <x:v>46353</x:v>
      </x:c>
      <x:c r="B47" s="55" t="str">
        <x:f>IF(MONTH(A47)&lt;&gt;MONTH('SETUP'!$D$14),"",CHOOSE(WEEKDAY(A47,2),"Mon","Tue","Wed","Thu","Fri","Sat","Sun"))</x:f>
        <x:v>Fri</x:v>
      </x:c>
      <x:c r="C47" s="55" t="n">
        <x:f>IF(B47="","",COUNTIFS('REQUESTS'!$F$11:$F$90,"&lt;="&amp;A47,'REQUESTS'!$G$11:$G$90,"&gt;="&amp;A47,'REQUESTS'!$J$11:$J$90,"Approved"))</x:f>
        <x:v>0</x:v>
      </x:c>
      <x:c r="D47" s="55" t="n">
        <x:f>IF(B47="","",COUNTIFS('REQUESTS'!$F$11:$F$90,"&lt;="&amp;A47,'REQUESTS'!$G$11:$G$90,"&gt;="&amp;A47,'REQUESTS'!$J$11:$J$90,"Pending"))</x:f>
        <x:v>1</x:v>
      </x:c>
      <x:c r="E47" s="55" t="n">
        <x:f>IF(B47="","",COUNTIF('EMPLOYEES'!$F$11:$F$60,"Active")-C47)</x:f>
        <x:v>8</x:v>
      </x:c>
      <x:c r="F47" s="55" t="n">
        <x:f>IF(B47="","",SUM('SETUP'!$K$19:$K$23))</x:f>
        <x:v>5</x:v>
      </x:c>
      <x:c r="G47" s="55" t="n">
        <x:f>IF(B47="","",E47-F47)</x:f>
        <x:v>3</x:v>
      </x:c>
      <x:c r="H47" s="55" t="str">
        <x:f>IF(B47="","",IF(WEEKDAY(A47,2)&gt;5,"Weekend",IF(G47&lt;0,"At Risk","Covered")))</x:f>
        <x:v>Covered</x:v>
      </x:c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76" t="n">
        <x:f>'SETUP'!$D$14+27</x:f>
        <x:v>46354</x:v>
      </x:c>
      <x:c r="B48" s="55" t="str">
        <x:f>IF(MONTH(A48)&lt;&gt;MONTH('SETUP'!$D$14),"",CHOOSE(WEEKDAY(A48,2),"Mon","Tue","Wed","Thu","Fri","Sat","Sun"))</x:f>
        <x:v>Sat</x:v>
      </x:c>
      <x:c r="C48" s="55" t="n">
        <x:f>IF(B48="","",COUNTIFS('REQUESTS'!$F$11:$F$90,"&lt;="&amp;A48,'REQUESTS'!$G$11:$G$90,"&gt;="&amp;A48,'REQUESTS'!$J$11:$J$90,"Approved"))</x:f>
        <x:v>0</x:v>
      </x:c>
      <x:c r="D48" s="55" t="n">
        <x:f>IF(B48="","",COUNTIFS('REQUESTS'!$F$11:$F$90,"&lt;="&amp;A48,'REQUESTS'!$G$11:$G$90,"&gt;="&amp;A48,'REQUESTS'!$J$11:$J$90,"Pending"))</x:f>
        <x:v>0</x:v>
      </x:c>
      <x:c r="E48" s="55" t="n">
        <x:f>IF(B48="","",COUNTIF('EMPLOYEES'!$F$11:$F$60,"Active")-C48)</x:f>
        <x:v>8</x:v>
      </x:c>
      <x:c r="F48" s="55" t="n">
        <x:f>IF(B48="","",SUM('SETUP'!$K$19:$K$23))</x:f>
        <x:v>5</x:v>
      </x:c>
      <x:c r="G48" s="55" t="n">
        <x:f>IF(B48="","",E48-F48)</x:f>
        <x:v>3</x:v>
      </x:c>
      <x:c r="H48" s="55" t="str">
        <x:f>IF(B48="","",IF(WEEKDAY(A48,2)&gt;5,"Weekend",IF(G48&lt;0,"At Risk","Covered")))</x:f>
        <x:v>Weekend</x:v>
      </x:c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76" t="n">
        <x:f>'SETUP'!$D$14+28</x:f>
        <x:v>46355</x:v>
      </x:c>
      <x:c r="B49" s="55" t="str">
        <x:f>IF(MONTH(A49)&lt;&gt;MONTH('SETUP'!$D$14),"",CHOOSE(WEEKDAY(A49,2),"Mon","Tue","Wed","Thu","Fri","Sat","Sun"))</x:f>
        <x:v>Sun</x:v>
      </x:c>
      <x:c r="C49" s="55" t="n">
        <x:f>IF(B49="","",COUNTIFS('REQUESTS'!$F$11:$F$90,"&lt;="&amp;A49,'REQUESTS'!$G$11:$G$90,"&gt;="&amp;A49,'REQUESTS'!$J$11:$J$90,"Approved"))</x:f>
        <x:v>0</x:v>
      </x:c>
      <x:c r="D49" s="55" t="n">
        <x:f>IF(B49="","",COUNTIFS('REQUESTS'!$F$11:$F$90,"&lt;="&amp;A49,'REQUESTS'!$G$11:$G$90,"&gt;="&amp;A49,'REQUESTS'!$J$11:$J$90,"Pending"))</x:f>
        <x:v>0</x:v>
      </x:c>
      <x:c r="E49" s="55" t="n">
        <x:f>IF(B49="","",COUNTIF('EMPLOYEES'!$F$11:$F$60,"Active")-C49)</x:f>
        <x:v>8</x:v>
      </x:c>
      <x:c r="F49" s="55" t="n">
        <x:f>IF(B49="","",SUM('SETUP'!$K$19:$K$23))</x:f>
        <x:v>5</x:v>
      </x:c>
      <x:c r="G49" s="55" t="n">
        <x:f>IF(B49="","",E49-F49)</x:f>
        <x:v>3</x:v>
      </x:c>
      <x:c r="H49" s="55" t="str">
        <x:f>IF(B49="","",IF(WEEKDAY(A49,2)&gt;5,"Weekend",IF(G49&lt;0,"At Risk","Covered")))</x:f>
        <x:v>Weekend</x:v>
      </x:c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76" t="n">
        <x:f>'SETUP'!$D$14+29</x:f>
        <x:v>46356</x:v>
      </x:c>
      <x:c r="B50" s="55" t="str">
        <x:f>IF(MONTH(A50)&lt;&gt;MONTH('SETUP'!$D$14),"",CHOOSE(WEEKDAY(A50,2),"Mon","Tue","Wed","Thu","Fri","Sat","Sun"))</x:f>
        <x:v>Mon</x:v>
      </x:c>
      <x:c r="C50" s="55" t="n">
        <x:f>IF(B50="","",COUNTIFS('REQUESTS'!$F$11:$F$90,"&lt;="&amp;A50,'REQUESTS'!$G$11:$G$90,"&gt;="&amp;A50,'REQUESTS'!$J$11:$J$90,"Approved"))</x:f>
        <x:v>0</x:v>
      </x:c>
      <x:c r="D50" s="55" t="n">
        <x:f>IF(B50="","",COUNTIFS('REQUESTS'!$F$11:$F$90,"&lt;="&amp;A50,'REQUESTS'!$G$11:$G$90,"&gt;="&amp;A50,'REQUESTS'!$J$11:$J$90,"Pending"))</x:f>
        <x:v>0</x:v>
      </x:c>
      <x:c r="E50" s="55" t="n">
        <x:f>IF(B50="","",COUNTIF('EMPLOYEES'!$F$11:$F$60,"Active")-C50)</x:f>
        <x:v>8</x:v>
      </x:c>
      <x:c r="F50" s="55" t="n">
        <x:f>IF(B50="","",SUM('SETUP'!$K$19:$K$23))</x:f>
        <x:v>5</x:v>
      </x:c>
      <x:c r="G50" s="55" t="n">
        <x:f>IF(B50="","",E50-F50)</x:f>
        <x:v>3</x:v>
      </x:c>
      <x:c r="H50" s="55" t="str">
        <x:f>IF(B50="","",IF(WEEKDAY(A50,2)&gt;5,"Weekend",IF(G50&lt;0,"At Risk","Covered")))</x:f>
        <x:v>Covered</x:v>
      </x:c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77" t="n">
        <x:f>'SETUP'!$D$14+30</x:f>
        <x:v>46357</x:v>
      </x:c>
      <x:c r="B51" s="56" t="str">
        <x:f>IF(MONTH(A51)&lt;&gt;MONTH('SETUP'!$D$14),"",CHOOSE(WEEKDAY(A51,2),"Mon","Tue","Wed","Thu","Fri","Sat","Sun"))</x:f>
      </x:c>
      <x:c r="C51" s="56" t="str">
        <x:f>IF(B51="","",COUNTIFS('REQUESTS'!$F$11:$F$90,"&lt;="&amp;A51,'REQUESTS'!$G$11:$G$90,"&gt;="&amp;A51,'REQUESTS'!$J$11:$J$90,"Approved"))</x:f>
      </x:c>
      <x:c r="D51" s="56" t="str">
        <x:f>IF(B51="","",COUNTIFS('REQUESTS'!$F$11:$F$90,"&lt;="&amp;A51,'REQUESTS'!$G$11:$G$90,"&gt;="&amp;A51,'REQUESTS'!$J$11:$J$90,"Pending"))</x:f>
      </x:c>
      <x:c r="E51" s="56" t="str">
        <x:f>IF(B51="","",COUNTIF('EMPLOYEES'!$F$11:$F$60,"Active")-C51)</x:f>
      </x:c>
      <x:c r="F51" s="56" t="str">
        <x:f>IF(B51="","",SUM('SETUP'!$K$19:$K$23))</x:f>
      </x:c>
      <x:c r="G51" s="56" t="str">
        <x:f>IF(B51="","",E51-F51)</x:f>
      </x:c>
      <x:c r="H51" s="56" t="str">
        <x:f>IF(B51="","",IF(WEEKDAY(A51,2)&gt;5,"Weekend",IF(G51&lt;0,"At Risk","Covered")))</x:f>
      </x:c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9:H9"/>
    <x:mergeCell ref="A19:H19"/>
  </x:mergeCells>
  <x:conditionalFormatting sqref="H11:H15">
    <x:cfRule type="cellIs" dxfId="6" priority="1" operator="equal">
      <x:formula>"At Risk"</x:formula>
    </x:cfRule>
  </x:conditionalFormatting>
  <x:conditionalFormatting sqref="H21:H51">
    <x:cfRule type="cellIs" dxfId="7" priority="2" operator="equal">
      <x:formula>"At Risk"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a3bfee3e46d418a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0" hidden="0" customWidth="1"/>
    <x:col min="3" max="3" width="20" hidden="0" customWidth="1"/>
    <x:col min="4" max="4" width="13" hidden="0" customWidth="1"/>
    <x:col min="5" max="5" width="11" hidden="0" customWidth="1"/>
    <x:col min="6" max="6" width="25" hidden="0" customWidth="1"/>
    <x:col min="7" max="7" width="3" hidden="0" customWidth="1"/>
    <x:col min="8" max="8" width="20" hidden="0" customWidth="1"/>
    <x:col min="9" max="9" width="11" hidden="0" customWidth="1"/>
    <x:col min="10" max="10" width="11" hidden="0" customWidth="1"/>
    <x:col min="11" max="11" width="3" hidden="0" customWidth="1"/>
    <x:col min="12" max="12" width="23" hidden="0" customWidth="1"/>
    <x:col min="13" max="13" width="14" hidden="0" customWidth="1"/>
    <x:col min="14" max="14" width="14" hidden="0" customWidth="1"/>
    <x:col min="15" max="15" width="3" hidden="0" customWidth="1"/>
    <x:col min="16" max="16" width="16" hidden="0" customWidth="1"/>
    <x:col min="17" max="17" width="11" hidden="0" customWidth="1"/>
    <x:col min="18" max="18" width="3" hidden="0" customWidth="1"/>
    <x:col min="19" max="19" width="3" hidden="0" customWidth="1"/>
    <x:col min="20" max="20" width="3" hidden="0" customWidth="1"/>
  </x:cols>
  <x:sheetData>
    <x:row r="1" ht="20" customHeight="1">
      <x:c r="A1" s="12" t="str">
        <x:v>Home</x:v>
      </x:c>
      <x:c r="B1" s="13" t="str">
        <x:v>Home</x:v>
      </x:c>
      <x:c r="C1" s="12" t="str">
        <x:v>Setup</x:v>
      </x:c>
      <x:c r="D1" s="13" t="str">
        <x:v>Setup</x:v>
      </x:c>
      <x:c r="E1" s="12" t="str">
        <x:v>Employees</x:v>
      </x:c>
      <x:c r="F1" s="13" t="str">
        <x:v>Employees</x:v>
      </x:c>
      <x:c r="G1" s="12" t="str">
        <x:v>Requests</x:v>
      </x:c>
      <x:c r="H1" s="13" t="str">
        <x:v>Requests</x:v>
      </x:c>
      <x:c r="I1" s="12" t="str">
        <x:v>Balances</x:v>
      </x:c>
      <x:c r="J1" s="13" t="str">
        <x:v>Balances</x:v>
      </x:c>
      <x:c r="K1" s="12" t="str">
        <x:v>Calendar</x:v>
      </x:c>
      <x:c r="L1" s="13" t="str">
        <x:v>Calendar</x:v>
      </x:c>
      <x:c r="M1" s="12" t="str">
        <x:v>Coverage</x:v>
      </x:c>
      <x:c r="N1" s="13" t="str">
        <x:v>Coverage</x:v>
      </x:c>
      <x:c r="O1" s="9" t="str">
        <x:v>Dashboard</x:v>
      </x:c>
      <x:c r="P1" s="10" t="str">
        <x:v>Dashboard</x:v>
      </x:c>
      <x:c r="Q1" s="12" t="str">
        <x:v>Audit</x:v>
      </x:c>
      <x:c r="R1" s="13" t="str">
        <x:v>Audit</x:v>
      </x:c>
      <x:c r="S1" s="6"/>
      <x:c r="T1" s="6"/>
    </x:row>
    <x:row r="2" ht="20" customHeight="1">
      <x:c r="A2" s="12" t="str">
        <x:v>Home</x:v>
      </x:c>
      <x:c r="B2" s="13" t="str">
        <x:v>Home</x:v>
      </x:c>
      <x:c r="C2" s="12" t="str">
        <x:v>Setup</x:v>
      </x:c>
      <x:c r="D2" s="13" t="str">
        <x:v>Setup</x:v>
      </x:c>
      <x:c r="E2" s="12" t="str">
        <x:v>Employees</x:v>
      </x:c>
      <x:c r="F2" s="13" t="str">
        <x:v>Employees</x:v>
      </x:c>
      <x:c r="G2" s="12" t="str">
        <x:v>Requests</x:v>
      </x:c>
      <x:c r="H2" s="13" t="str">
        <x:v>Requests</x:v>
      </x:c>
      <x:c r="I2" s="12" t="str">
        <x:v>Balances</x:v>
      </x:c>
      <x:c r="J2" s="13" t="str">
        <x:v>Balances</x:v>
      </x:c>
      <x:c r="K2" s="12" t="str">
        <x:v>Calendar</x:v>
      </x:c>
      <x:c r="L2" s="13" t="str">
        <x:v>Calendar</x:v>
      </x:c>
      <x:c r="M2" s="12" t="str">
        <x:v>Coverage</x:v>
      </x:c>
      <x:c r="N2" s="13" t="str">
        <x:v>Coverage</x:v>
      </x:c>
      <x:c r="O2" s="9" t="str">
        <x:v>Dashboard</x:v>
      </x:c>
      <x:c r="P2" s="10" t="str">
        <x:v>Dashboard</x:v>
      </x:c>
      <x:c r="Q2" s="12" t="str">
        <x:v>Audit</x:v>
      </x:c>
      <x:c r="R2" s="13" t="str">
        <x:v>Audit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DECISION VIEW</x:v>
      </x:c>
      <x:c r="B4" s="15" t="str">
        <x:v>DECISION VIEW</x:v>
      </x:c>
      <x:c r="C4" s="15" t="str">
        <x:v>DECISION VIEW</x:v>
      </x:c>
      <x:c r="D4" s="15" t="str">
        <x:v>DECISION VIEW</x:v>
      </x:c>
      <x:c r="E4" s="15" t="str">
        <x:v>DECISION VIEW</x:v>
      </x:c>
      <x:c r="F4" s="15" t="str">
        <x:v>DECISION VIEW</x:v>
      </x:c>
      <x:c r="G4" s="15" t="str">
        <x:v>DECISION VIEW</x:v>
      </x:c>
      <x:c r="H4" s="15" t="str">
        <x:v>DECISION VIEW</x:v>
      </x:c>
      <x:c r="I4" s="15" t="str">
        <x:v>DECISION VIEW</x:v>
      </x:c>
      <x:c r="J4" s="15" t="str">
        <x:v>DECISION VIEW</x:v>
      </x:c>
      <x:c r="K4" s="15" t="str">
        <x:v>DECISION VIEW</x:v>
      </x:c>
      <x:c r="L4" s="15" t="str">
        <x:v>DECISION VIEW</x:v>
      </x:c>
      <x:c r="M4" s="15" t="str">
        <x:v>DECISION VIEW</x:v>
      </x:c>
      <x:c r="N4" s="15" t="str">
        <x:v>DECISION VIEW</x:v>
      </x:c>
      <x:c r="O4" s="15" t="str">
        <x:v>DECISION VIEW</x:v>
      </x:c>
      <x:c r="P4" s="15" t="str">
        <x:v>DECISION VIEW</x:v>
      </x:c>
      <x:c r="Q4" s="15" t="str">
        <x:v>DECISION VIEW</x:v>
      </x:c>
      <x:c r="R4" s="15" t="str">
        <x:v>DECISION VIEW</x:v>
      </x:c>
      <x:c r="S4" s="15" t="str">
        <x:v>DECISION VIEW</x:v>
      </x:c>
      <x:c r="T4" s="15" t="str">
        <x:v>DECISION VIEW</x:v>
      </x:c>
    </x:row>
    <x:row r="5" ht="24" customHeight="1">
      <x:c r="A5" s="17" t="str">
        <x:v>Leave Management Dashboard</x:v>
      </x:c>
      <x:c r="B5" s="17" t="str">
        <x:v>Leave Management Dashboard</x:v>
      </x:c>
      <x:c r="C5" s="17" t="str">
        <x:v>Leave Management Dashboard</x:v>
      </x:c>
      <x:c r="D5" s="17" t="str">
        <x:v>Leave Management Dashboard</x:v>
      </x:c>
      <x:c r="E5" s="17" t="str">
        <x:v>Leave Management Dashboard</x:v>
      </x:c>
      <x:c r="F5" s="17" t="str">
        <x:v>Leave Management Dashboard</x:v>
      </x:c>
      <x:c r="G5" s="17" t="str">
        <x:v>Leave Management Dashboard</x:v>
      </x:c>
      <x:c r="H5" s="17" t="str">
        <x:v>Leave Management Dashboard</x:v>
      </x:c>
      <x:c r="I5" s="17" t="str">
        <x:v>Leave Management Dashboard</x:v>
      </x:c>
      <x:c r="J5" s="17" t="str">
        <x:v>Leave Management Dashboard</x:v>
      </x:c>
      <x:c r="K5" s="17" t="str">
        <x:v>Leave Management Dashboard</x:v>
      </x:c>
      <x:c r="L5" s="17" t="str">
        <x:v>Leave Management Dashboard</x:v>
      </x:c>
      <x:c r="M5" s="17" t="str">
        <x:v>Leave Management Dashboard</x:v>
      </x:c>
      <x:c r="N5" s="17" t="str">
        <x:v>Leave Management Dashboard</x:v>
      </x:c>
      <x:c r="O5" s="17" t="str">
        <x:v>Leave Management Dashboard</x:v>
      </x:c>
      <x:c r="P5" s="17" t="str">
        <x:v>Leave Management Dashboard</x:v>
      </x:c>
      <x:c r="Q5" s="17" t="str">
        <x:v>Leave Management Dashboard</x:v>
      </x:c>
      <x:c r="R5" s="17" t="str">
        <x:v>Leave Management Dashboard</x:v>
      </x:c>
      <x:c r="S5" s="17" t="str">
        <x:v>Leave Management Dashboard</x:v>
      </x:c>
      <x:c r="T5" s="17" t="str">
        <x:v>Leave Management Dashboard</x:v>
      </x:c>
    </x:row>
    <x:row r="6" ht="24" customHeight="1">
      <x:c r="A6" s="18" t="str">
        <x:v>Leave Management Dashboard</x:v>
      </x:c>
      <x:c r="B6" s="18" t="str">
        <x:v>Leave Management Dashboard</x:v>
      </x:c>
      <x:c r="C6" s="18" t="str">
        <x:v>Leave Management Dashboard</x:v>
      </x:c>
      <x:c r="D6" s="18" t="str">
        <x:v>Leave Management Dashboard</x:v>
      </x:c>
      <x:c r="E6" s="18" t="str">
        <x:v>Leave Management Dashboard</x:v>
      </x:c>
      <x:c r="F6" s="18" t="str">
        <x:v>Leave Management Dashboard</x:v>
      </x:c>
      <x:c r="G6" s="18" t="str">
        <x:v>Leave Management Dashboard</x:v>
      </x:c>
      <x:c r="H6" s="18" t="str">
        <x:v>Leave Management Dashboard</x:v>
      </x:c>
      <x:c r="I6" s="18" t="str">
        <x:v>Leave Management Dashboard</x:v>
      </x:c>
      <x:c r="J6" s="18" t="str">
        <x:v>Leave Management Dashboard</x:v>
      </x:c>
      <x:c r="K6" s="18" t="str">
        <x:v>Leave Management Dashboard</x:v>
      </x:c>
      <x:c r="L6" s="18" t="str">
        <x:v>Leave Management Dashboard</x:v>
      </x:c>
      <x:c r="M6" s="18" t="str">
        <x:v>Leave Management Dashboard</x:v>
      </x:c>
      <x:c r="N6" s="18" t="str">
        <x:v>Leave Management Dashboard</x:v>
      </x:c>
      <x:c r="O6" s="18" t="str">
        <x:v>Leave Management Dashboard</x:v>
      </x:c>
      <x:c r="P6" s="18" t="str">
        <x:v>Leave Management Dashboard</x:v>
      </x:c>
      <x:c r="Q6" s="18" t="str">
        <x:v>Leave Management Dashboard</x:v>
      </x:c>
      <x:c r="R6" s="18" t="str">
        <x:v>Leave Management Dashboard</x:v>
      </x:c>
      <x:c r="S6" s="18" t="str">
        <x:v>Leave Management Dashboard</x:v>
      </x:c>
      <x:c r="T6" s="18" t="str">
        <x:v>Leave Management Dashboard</x:v>
      </x:c>
    </x:row>
    <x:row r="7" ht="18" customHeight="1">
      <x:c r="A7" s="20" t="str">
        <x:v>Monitor demand, approved leave, balance risk, coverage pressure, and decision queues.</x:v>
      </x:c>
      <x:c r="B7" s="20" t="str">
        <x:v>Monitor demand, approved leave, balance risk, coverage pressure, and decision queues.</x:v>
      </x:c>
      <x:c r="C7" s="20" t="str">
        <x:v>Monitor demand, approved leave, balance risk, coverage pressure, and decision queues.</x:v>
      </x:c>
      <x:c r="D7" s="20" t="str">
        <x:v>Monitor demand, approved leave, balance risk, coverage pressure, and decision queues.</x:v>
      </x:c>
      <x:c r="E7" s="20" t="str">
        <x:v>Monitor demand, approved leave, balance risk, coverage pressure, and decision queues.</x:v>
      </x:c>
      <x:c r="F7" s="20" t="str">
        <x:v>Monitor demand, approved leave, balance risk, coverage pressure, and decision queues.</x:v>
      </x:c>
      <x:c r="G7" s="20" t="str">
        <x:v>Monitor demand, approved leave, balance risk, coverage pressure, and decision queues.</x:v>
      </x:c>
      <x:c r="H7" s="20" t="str">
        <x:v>Monitor demand, approved leave, balance risk, coverage pressure, and decision queues.</x:v>
      </x:c>
      <x:c r="I7" s="20" t="str">
        <x:v>Monitor demand, approved leave, balance risk, coverage pressure, and decision queues.</x:v>
      </x:c>
      <x:c r="J7" s="20" t="str">
        <x:v>Monitor demand, approved leave, balance risk, coverage pressure, and decision queues.</x:v>
      </x:c>
      <x:c r="K7" s="20" t="str">
        <x:v>Monitor demand, approved leave, balance risk, coverage pressure, and decision queues.</x:v>
      </x:c>
      <x:c r="L7" s="20" t="str">
        <x:v>Monitor demand, approved leave, balance risk, coverage pressure, and decision queues.</x:v>
      </x:c>
      <x:c r="M7" s="20" t="str">
        <x:v>Monitor demand, approved leave, balance risk, coverage pressure, and decision queues.</x:v>
      </x:c>
      <x:c r="N7" s="20" t="str">
        <x:v>Monitor demand, approved leave, balance risk, coverage pressure, and decision queues.</x:v>
      </x:c>
      <x:c r="O7" s="20" t="str">
        <x:v>Monitor demand, approved leave, balance risk, coverage pressure, and decision queues.</x:v>
      </x:c>
      <x:c r="P7" s="20" t="str">
        <x:v>Monitor demand, approved leave, balance risk, coverage pressure, and decision queues.</x:v>
      </x:c>
      <x:c r="Q7" s="20" t="str">
        <x:v>Monitor demand, approved leave, balance risk, coverage pressure, and decision queues.</x:v>
      </x:c>
      <x:c r="R7" s="20" t="str">
        <x:v>Monitor demand, approved leave, balance risk, coverage pressure, and decision queues.</x:v>
      </x:c>
      <x:c r="S7" s="20" t="str">
        <x:v>Monitor demand, approved leave, balance risk, coverage pressure, and decision queues.</x:v>
      </x:c>
      <x:c r="T7" s="20" t="str">
        <x:v>Monitor demand, approved leave, balance risk, coverage pressure, and decision queues.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80" t="str">
        <x:v>Pending decisions</x:v>
      </x:c>
      <x:c r="B10" s="80" t="str">
        <x:v>Pending decisions</x:v>
      </x:c>
      <x:c r="C10" s="80" t="str">
        <x:v>Pending decisions</x:v>
      </x:c>
      <x:c r="D10" s="80" t="str">
        <x:v>Pending decisions</x:v>
      </x:c>
      <x:c r="E10" s="4"/>
      <x:c r="F10" s="109" t="str">
        <x:v>Approved days</x:v>
      </x:c>
      <x:c r="G10" s="109" t="str">
        <x:v>Approved days</x:v>
      </x:c>
      <x:c r="H10" s="109" t="str">
        <x:v>Approved days</x:v>
      </x:c>
      <x:c r="I10" s="109" t="str">
        <x:v>Approved days</x:v>
      </x:c>
      <x:c r="J10" s="109" t="str">
        <x:v>Approved days</x:v>
      </x:c>
      <x:c r="K10" s="4"/>
      <x:c r="L10" s="128" t="str">
        <x:v>Away today</x:v>
      </x:c>
      <x:c r="M10" s="128" t="str">
        <x:v>Away today</x:v>
      </x:c>
      <x:c r="N10" s="128" t="str">
        <x:v>Away today</x:v>
      </x:c>
      <x:c r="O10" s="128" t="str">
        <x:v>Away today</x:v>
      </x:c>
      <x:c r="P10" s="4"/>
      <x:c r="Q10" s="131" t="str">
        <x:v>Balance alerts</x:v>
      </x:c>
      <x:c r="R10" s="131" t="str">
        <x:v>Balance alerts</x:v>
      </x:c>
      <x:c r="S10" s="131" t="str">
        <x:v>Balance alerts</x:v>
      </x:c>
      <x:c r="T10" s="131" t="str">
        <x:v>Balance alerts</x:v>
      </x:c>
    </x:row>
    <x:row r="11">
      <x:c r="A11" s="100" t="n">
        <x:f>COUNTIF('REQUESTS'!$J$11:$J$90,"Pending")</x:f>
        <x:v>3</x:v>
      </x:c>
      <x:c r="B11" s="101"/>
      <x:c r="C11" s="101"/>
      <x:c r="D11" s="102"/>
      <x:c r="E11" s="4"/>
      <x:c r="F11" s="119" t="n">
        <x:f>SUMIF('REQUESTS'!$J$11:$J$90,"Approved",'REQUESTS'!$I$11:$I$90)</x:f>
        <x:v>28.5</x:v>
      </x:c>
      <x:c r="G11" s="120"/>
      <x:c r="H11" s="120"/>
      <x:c r="I11" s="120"/>
      <x:c r="J11" s="121"/>
      <x:c r="K11" s="4"/>
      <x:c r="L11" s="100" t="n">
        <x:f>COUNTIFS('REQUESTS'!$F$11:$F$90,"&lt;="&amp;'SETUP'!$D$13,'REQUESTS'!$G$11:$G$90,"&gt;="&amp;'SETUP'!$D$13,'REQUESTS'!$J$11:$J$90,"Approved")</x:f>
        <x:v>0</x:v>
      </x:c>
      <x:c r="M11" s="101"/>
      <x:c r="N11" s="101"/>
      <x:c r="O11" s="102"/>
      <x:c r="P11" s="4"/>
      <x:c r="Q11" s="100" t="n">
        <x:f>COUNTIF('BALANCES'!$K$11:$K$90,"At Risk")+COUNTIF('BALANCES'!$K$11:$K$90,"Low")</x:f>
        <x:v>0</x:v>
      </x:c>
      <x:c r="R11" s="101"/>
      <x:c r="S11" s="101"/>
      <x:c r="T11" s="102"/>
    </x:row>
    <x:row r="12">
      <x:c r="A12" s="103"/>
      <x:c r="B12" s="104"/>
      <x:c r="C12" s="104"/>
      <x:c r="D12" s="105"/>
      <x:c r="E12" s="4"/>
      <x:c r="F12" s="122"/>
      <x:c r="G12" s="123"/>
      <x:c r="H12" s="123"/>
      <x:c r="I12" s="123"/>
      <x:c r="J12" s="124"/>
      <x:c r="K12" s="4"/>
      <x:c r="L12" s="103"/>
      <x:c r="M12" s="104"/>
      <x:c r="N12" s="104"/>
      <x:c r="O12" s="105"/>
      <x:c r="P12" s="4"/>
      <x:c r="Q12" s="103"/>
      <x:c r="R12" s="104"/>
      <x:c r="S12" s="104"/>
      <x:c r="T12" s="105"/>
    </x:row>
    <x:row r="13">
      <x:c r="A13" s="106"/>
      <x:c r="B13" s="107"/>
      <x:c r="C13" s="107"/>
      <x:c r="D13" s="108"/>
      <x:c r="E13" s="4"/>
      <x:c r="F13" s="125"/>
      <x:c r="G13" s="126"/>
      <x:c r="H13" s="126"/>
      <x:c r="I13" s="126"/>
      <x:c r="J13" s="127"/>
      <x:c r="K13" s="4"/>
      <x:c r="L13" s="106"/>
      <x:c r="M13" s="107"/>
      <x:c r="N13" s="107"/>
      <x:c r="O13" s="108"/>
      <x:c r="P13" s="4"/>
      <x:c r="Q13" s="106"/>
      <x:c r="R13" s="107"/>
      <x:c r="S13" s="107"/>
      <x:c r="T13" s="108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22" t="str">
        <x:v>DECISION QUEUE</x:v>
      </x:c>
      <x:c r="B16" s="22" t="str">
        <x:v>DECISION QUEUE</x:v>
      </x:c>
      <x:c r="C16" s="22" t="str">
        <x:v>DECISION QUEUE</x:v>
      </x:c>
      <x:c r="D16" s="22" t="str">
        <x:v>DECISION QUEUE</x:v>
      </x:c>
      <x:c r="E16" s="22" t="str">
        <x:v>DECISION QUEUE</x:v>
      </x:c>
      <x:c r="F16" s="22" t="str">
        <x:v>DECISION QUEUE</x:v>
      </x:c>
      <x:c r="G16" s="4"/>
      <x:c r="H16" s="22" t="str">
        <x:v>OPERATING SIGNALS</x:v>
      </x:c>
      <x:c r="I16" s="22" t="str">
        <x:v>OPERATING SIGNALS</x:v>
      </x:c>
      <x:c r="J16" s="22" t="str">
        <x:v>OPERATING SIGNALS</x:v>
      </x:c>
      <x:c r="K16" s="22" t="str">
        <x:v>OPERATING SIGNALS</x:v>
      </x:c>
      <x:c r="L16" s="22" t="str">
        <x:v>OPERATING SIGNALS</x:v>
      </x:c>
      <x:c r="M16" s="22" t="str">
        <x:v>OPERATING SIGNALS</x:v>
      </x:c>
      <x:c r="N16" s="4"/>
      <x:c r="O16" s="4"/>
      <x:c r="P16" s="4"/>
      <x:c r="Q16" s="4"/>
      <x:c r="R16" s="4"/>
      <x:c r="S16" s="4"/>
      <x:c r="T16" s="4"/>
    </x:row>
    <x:row r="17">
      <x:c r="A17" s="33" t="str">
        <x:v>Request</x:v>
      </x:c>
      <x:c r="B17" s="33" t="str">
        <x:v>Employee</x:v>
      </x:c>
      <x:c r="C17" s="33" t="str">
        <x:v>Leave type</x:v>
      </x:c>
      <x:c r="D17" s="33" t="str">
        <x:v>Start</x:v>
      </x:c>
      <x:c r="E17" s="33" t="str">
        <x:v>Days</x:v>
      </x:c>
      <x:c r="F17" s="33" t="str">
        <x:v>Reason for review</x:v>
      </x:c>
      <x:c r="G17" s="4"/>
      <x:c r="H17" s="33" t="str">
        <x:v>Request status</x:v>
      </x:c>
      <x:c r="I17" s="33" t="str">
        <x:v>Requests</x:v>
      </x:c>
      <x:c r="J17" s="33" t="str">
        <x:v>Days</x:v>
      </x:c>
      <x:c r="K17" s="4"/>
      <x:c r="L17" s="33" t="str">
        <x:v>Leave type</x:v>
      </x:c>
      <x:c r="M17" s="33" t="str">
        <x:v>Approved days</x:v>
      </x:c>
      <x:c r="N17" s="33" t="str">
        <x:v>Pending days</x:v>
      </x:c>
      <x:c r="O17" s="4"/>
      <x:c r="P17" s="33" t="str">
        <x:v>Approved requests by month</x:v>
      </x:c>
      <x:c r="Q17" s="33"/>
      <x:c r="R17" s="33"/>
      <x:c r="S17" s="4"/>
      <x:c r="T17" s="4"/>
    </x:row>
    <x:row r="18">
      <x:c r="A18" s="55" t="str">
        <x:f>IF(SMALL('REQUESTS'!$Q$11:$Q$90,1)&gt;=9999,"",IFERROR(INDEX('REQUESTS'!$A$11:$A$90,MATCH(SMALL('REQUESTS'!$Q$11:$Q$90,1),'REQUESTS'!$Q$11:$Q$90,0)),""))</x:f>
        <x:v>REQ-012</x:v>
      </x:c>
      <x:c r="B18" s="55" t="str">
        <x:f>IF(SMALL('REQUESTS'!$Q$11:$Q$90,1)&gt;=9999,"",IFERROR(INDEX('REQUESTS'!$C$11:$C$90,MATCH(SMALL('REQUESTS'!$Q$11:$Q$90,1),'REQUESTS'!$Q$11:$Q$90,0)),""))</x:f>
        <x:v>Lucia Torres</x:v>
      </x:c>
      <x:c r="C18" s="55" t="str">
        <x:f>IF(SMALL('REQUESTS'!$Q$11:$Q$90,1)&gt;=9999,"",IFERROR(INDEX('REQUESTS'!$E$11:$E$90,MATCH(SMALL('REQUESTS'!$Q$11:$Q$90,1),'REQUESTS'!$Q$11:$Q$90,0)),""))</x:f>
        <x:v>Personal Leave</x:v>
      </x:c>
      <x:c r="D18" s="76" t="n">
        <x:f>IF(SMALL('REQUESTS'!$Q$11:$Q$90,1)&gt;=9999,"",IFERROR(INDEX('REQUESTS'!$F$11:$F$90,MATCH(SMALL('REQUESTS'!$Q$11:$Q$90,1),'REQUESTS'!$Q$11:$Q$90,0)),""))</x:f>
        <x:v>46338</x:v>
      </x:c>
      <x:c r="E18" s="68" t="n">
        <x:f>IF(SMALL('REQUESTS'!$Q$11:$Q$90,1)&gt;=9999,"",IFERROR(INDEX('REQUESTS'!$I$11:$I$90,MATCH(SMALL('REQUESTS'!$Q$11:$Q$90,1),'REQUESTS'!$Q$11:$Q$90,0)),""))</x:f>
        <x:v>0.5</x:v>
      </x:c>
      <x:c r="F18" s="55" t="str">
        <x:f>IF(SMALL('REQUESTS'!$Q$11:$Q$90,1)&gt;=9999,"",IFERROR(IF(INDEX('REQUESTS'!$P$11:$P$90,MATCH(SMALL('REQUESTS'!$Q$11:$Q$90,1),'REQUESTS'!$Q$11:$Q$90,0))="ERROR","Missing / invalid data",IF(INDEX('REQUESTS'!$N$11:$N$90,MATCH(SMALL('REQUESTS'!$Q$11:$Q$90,1),'REQUESTS'!$Q$11:$Q$90,0))="Overlap","Overlap",IF(INDEX('REQUESTS'!$O$11:$O$90,MATCH(SMALL('REQUESTS'!$Q$11:$Q$90,1),'REQUESTS'!$Q$11:$Q$90,0))="At Risk","Staffing risk","Pending"))),""))</x:f>
        <x:v>Staffing risk</x:v>
      </x:c>
      <x:c r="G18" s="4"/>
      <x:c r="H18" s="55" t="str">
        <x:v>Pending</x:v>
      </x:c>
      <x:c r="I18" s="55" t="n">
        <x:f>COUNTIF('REQUESTS'!$J$11:$J$90,H18)</x:f>
        <x:v>3</x:v>
      </x:c>
      <x:c r="J18" s="68" t="n">
        <x:f>SUMIF('REQUESTS'!$J$11:$J$90,H18,'REQUESTS'!$I$11:$I$90)</x:f>
        <x:v>8.5</x:v>
      </x:c>
      <x:c r="K18" s="4"/>
      <x:c r="L18" s="55" t="str">
        <x:v>Annual Leave</x:v>
      </x:c>
      <x:c r="M18" s="68" t="n">
        <x:f>SUMIFS('REQUESTS'!$I$11:$I$90,'REQUESTS'!$E$11:$E$90,L18,'REQUESTS'!$J$11:$J$90,"Approved")</x:f>
        <x:v>23</x:v>
      </x:c>
      <x:c r="N18" s="68" t="n">
        <x:f>SUMIFS('REQUESTS'!$I$11:$I$90,'REQUESTS'!$E$11:$E$90,L18,'REQUESTS'!$J$11:$J$90,"Pending")</x:f>
        <x:v>8</x:v>
      </x:c>
      <x:c r="O18" s="4"/>
      <x:c r="P18" s="55" t="str">
        <x:v>Jan</x:v>
      </x:c>
      <x:c r="Q18" s="55" t="n">
        <x:f>COUNTIFS('REQUESTS'!$F$11:$F$90,"&gt;="&amp;DATE(YEAR('SETUP'!$D$11),1,1),'REQUESTS'!$F$11:$F$90,"&lt;"&amp;DATE(YEAR('SETUP'!$D$11),2,1),'REQUESTS'!$J$11:$J$90,"Approved")</x:f>
        <x:v>0</x:v>
      </x:c>
      <x:c r="R18" s="4"/>
      <x:c r="S18" s="4"/>
      <x:c r="T18" s="4"/>
    </x:row>
    <x:row r="19">
      <x:c r="A19" s="55" t="str">
        <x:f>IF(SMALL('REQUESTS'!$Q$11:$Q$90,2)&gt;=9999,"",IFERROR(INDEX('REQUESTS'!$A$11:$A$90,MATCH(SMALL('REQUESTS'!$Q$11:$Q$90,2),'REQUESTS'!$Q$11:$Q$90,0)),""))</x:f>
        <x:v>REQ-010</x:v>
      </x:c>
      <x:c r="B19" s="55" t="str">
        <x:f>IF(SMALL('REQUESTS'!$Q$11:$Q$90,2)&gt;=9999,"",IFERROR(INDEX('REQUESTS'!$C$11:$C$90,MATCH(SMALL('REQUESTS'!$Q$11:$Q$90,2),'REQUESTS'!$Q$11:$Q$90,0)),""))</x:f>
        <x:v>Omar Haddad</x:v>
      </x:c>
      <x:c r="C19" s="55" t="str">
        <x:f>IF(SMALL('REQUESTS'!$Q$11:$Q$90,2)&gt;=9999,"",IFERROR(INDEX('REQUESTS'!$E$11:$E$90,MATCH(SMALL('REQUESTS'!$Q$11:$Q$90,2),'REQUESTS'!$Q$11:$Q$90,0)),""))</x:f>
        <x:v>Annual Leave</x:v>
      </x:c>
      <x:c r="D19" s="76" t="n">
        <x:f>IF(SMALL('REQUESTS'!$Q$11:$Q$90,2)&gt;=9999,"",IFERROR(INDEX('REQUESTS'!$F$11:$F$90,MATCH(SMALL('REQUESTS'!$Q$11:$Q$90,2),'REQUESTS'!$Q$11:$Q$90,0)),""))</x:f>
        <x:v>46342</x:v>
      </x:c>
      <x:c r="E19" s="68" t="n">
        <x:f>IF(SMALL('REQUESTS'!$Q$11:$Q$90,2)&gt;=9999,"",IFERROR(INDEX('REQUESTS'!$I$11:$I$90,MATCH(SMALL('REQUESTS'!$Q$11:$Q$90,2),'REQUESTS'!$Q$11:$Q$90,0)),""))</x:f>
        <x:v>3</x:v>
      </x:c>
      <x:c r="F19" s="55" t="str">
        <x:f>IF(SMALL('REQUESTS'!$Q$11:$Q$90,2)&gt;=9999,"",IFERROR(IF(INDEX('REQUESTS'!$P$11:$P$90,MATCH(SMALL('REQUESTS'!$Q$11:$Q$90,2),'REQUESTS'!$Q$11:$Q$90,0))="ERROR","Missing / invalid data",IF(INDEX('REQUESTS'!$N$11:$N$90,MATCH(SMALL('REQUESTS'!$Q$11:$Q$90,2),'REQUESTS'!$Q$11:$Q$90,0))="Overlap","Overlap",IF(INDEX('REQUESTS'!$O$11:$O$90,MATCH(SMALL('REQUESTS'!$Q$11:$Q$90,2),'REQUESTS'!$Q$11:$Q$90,0))="At Risk","Staffing risk","Pending"))),""))</x:f>
        <x:v>Pending</x:v>
      </x:c>
      <x:c r="G19" s="4"/>
      <x:c r="H19" s="55" t="str">
        <x:v>Approved</x:v>
      </x:c>
      <x:c r="I19" s="55" t="n">
        <x:f>COUNTIF('REQUESTS'!$J$11:$J$90,H19)</x:f>
        <x:v>9</x:v>
      </x:c>
      <x:c r="J19" s="68" t="n">
        <x:f>SUMIF('REQUESTS'!$J$11:$J$90,H19,'REQUESTS'!$I$11:$I$90)</x:f>
        <x:v>28.5</x:v>
      </x:c>
      <x:c r="K19" s="4"/>
      <x:c r="L19" s="55" t="str">
        <x:v>Sick Leave</x:v>
      </x:c>
      <x:c r="M19" s="68" t="n">
        <x:f>SUMIFS('REQUESTS'!$I$11:$I$90,'REQUESTS'!$E$11:$E$90,L19,'REQUESTS'!$J$11:$J$90,"Approved")</x:f>
        <x:v>4</x:v>
      </x:c>
      <x:c r="N19" s="68" t="n">
        <x:f>SUMIFS('REQUESTS'!$I$11:$I$90,'REQUESTS'!$E$11:$E$90,L19,'REQUESTS'!$J$11:$J$90,"Pending")</x:f>
        <x:v>0</x:v>
      </x:c>
      <x:c r="O19" s="4"/>
      <x:c r="P19" s="55" t="str">
        <x:v>Feb</x:v>
      </x:c>
      <x:c r="Q19" s="55" t="n">
        <x:f>COUNTIFS('REQUESTS'!$F$11:$F$90,"&gt;="&amp;DATE(YEAR('SETUP'!$D$11),2,1),'REQUESTS'!$F$11:$F$90,"&lt;"&amp;DATE(YEAR('SETUP'!$D$11),3,1),'REQUESTS'!$J$11:$J$90,"Approved")</x:f>
        <x:v>1</x:v>
      </x:c>
      <x:c r="R19" s="4"/>
      <x:c r="S19" s="4"/>
      <x:c r="T19" s="4"/>
    </x:row>
    <x:row r="20">
      <x:c r="A20" s="55" t="str">
        <x:f>IF(SMALL('REQUESTS'!$Q$11:$Q$90,3)&gt;=9999,"",IFERROR(INDEX('REQUESTS'!$A$11:$A$90,MATCH(SMALL('REQUESTS'!$Q$11:$Q$90,3),'REQUESTS'!$Q$11:$Q$90,0)),""))</x:f>
        <x:v>REQ-011</x:v>
      </x:c>
      <x:c r="B20" s="55" t="str">
        <x:f>IF(SMALL('REQUESTS'!$Q$11:$Q$90,3)&gt;=9999,"",IFERROR(INDEX('REQUESTS'!$C$11:$C$90,MATCH(SMALL('REQUESTS'!$Q$11:$Q$90,3),'REQUESTS'!$Q$11:$Q$90,0)),""))</x:f>
        <x:v>Sofia Alvarez</x:v>
      </x:c>
      <x:c r="C20" s="55" t="str">
        <x:f>IF(SMALL('REQUESTS'!$Q$11:$Q$90,3)&gt;=9999,"",IFERROR(INDEX('REQUESTS'!$E$11:$E$90,MATCH(SMALL('REQUESTS'!$Q$11:$Q$90,3),'REQUESTS'!$Q$11:$Q$90,0)),""))</x:f>
        <x:v>Annual Leave</x:v>
      </x:c>
      <x:c r="D20" s="76" t="n">
        <x:f>IF(SMALL('REQUESTS'!$Q$11:$Q$90,3)&gt;=9999,"",IFERROR(INDEX('REQUESTS'!$F$11:$F$90,MATCH(SMALL('REQUESTS'!$Q$11:$Q$90,3),'REQUESTS'!$Q$11:$Q$90,0)),""))</x:f>
        <x:v>46349</x:v>
      </x:c>
      <x:c r="E20" s="68" t="n">
        <x:f>IF(SMALL('REQUESTS'!$Q$11:$Q$90,3)&gt;=9999,"",IFERROR(INDEX('REQUESTS'!$I$11:$I$90,MATCH(SMALL('REQUESTS'!$Q$11:$Q$90,3),'REQUESTS'!$Q$11:$Q$90,0)),""))</x:f>
        <x:v>5</x:v>
      </x:c>
      <x:c r="F20" s="55" t="str">
        <x:f>IF(SMALL('REQUESTS'!$Q$11:$Q$90,3)&gt;=9999,"",IFERROR(IF(INDEX('REQUESTS'!$P$11:$P$90,MATCH(SMALL('REQUESTS'!$Q$11:$Q$90,3),'REQUESTS'!$Q$11:$Q$90,0))="ERROR","Missing / invalid data",IF(INDEX('REQUESTS'!$N$11:$N$90,MATCH(SMALL('REQUESTS'!$Q$11:$Q$90,3),'REQUESTS'!$Q$11:$Q$90,0))="Overlap","Overlap",IF(INDEX('REQUESTS'!$O$11:$O$90,MATCH(SMALL('REQUESTS'!$Q$11:$Q$90,3),'REQUESTS'!$Q$11:$Q$90,0))="At Risk","Staffing risk","Pending"))),""))</x:f>
        <x:v>Pending</x:v>
      </x:c>
      <x:c r="G20" s="4"/>
      <x:c r="H20" s="55" t="str">
        <x:v>Declined</x:v>
      </x:c>
      <x:c r="I20" s="55" t="n">
        <x:f>COUNTIF('REQUESTS'!$J$11:$J$90,H20)</x:f>
        <x:v>1</x:v>
      </x:c>
      <x:c r="J20" s="68" t="n">
        <x:f>SUMIF('REQUESTS'!$J$11:$J$90,H20,'REQUESTS'!$I$11:$I$90)</x:f>
        <x:v>4</x:v>
      </x:c>
      <x:c r="K20" s="4"/>
      <x:c r="L20" s="55" t="str">
        <x:v>Personal Leave</x:v>
      </x:c>
      <x:c r="M20" s="68" t="n">
        <x:f>SUMIFS('REQUESTS'!$I$11:$I$90,'REQUESTS'!$E$11:$E$90,L20,'REQUESTS'!$J$11:$J$90,"Approved")</x:f>
        <x:v>1.5</x:v>
      </x:c>
      <x:c r="N20" s="68" t="n">
        <x:f>SUMIFS('REQUESTS'!$I$11:$I$90,'REQUESTS'!$E$11:$E$90,L20,'REQUESTS'!$J$11:$J$90,"Pending")</x:f>
        <x:v>0.5</x:v>
      </x:c>
      <x:c r="O20" s="4"/>
      <x:c r="P20" s="55" t="str">
        <x:v>Mar</x:v>
      </x:c>
      <x:c r="Q20" s="55" t="n">
        <x:f>COUNTIFS('REQUESTS'!$F$11:$F$90,"&gt;="&amp;DATE(YEAR('SETUP'!$D$11),3,1),'REQUESTS'!$F$11:$F$90,"&lt;"&amp;DATE(YEAR('SETUP'!$D$11),4,1),'REQUESTS'!$J$11:$J$90,"Approved")</x:f>
        <x:v>1</x:v>
      </x:c>
      <x:c r="R20" s="4"/>
      <x:c r="S20" s="4"/>
      <x:c r="T20" s="4"/>
    </x:row>
    <x:row r="21">
      <x:c r="A21" s="55" t="str">
        <x:f>IF(SMALL('REQUESTS'!$Q$11:$Q$90,4)&gt;=9999,"",IFERROR(INDEX('REQUESTS'!$A$11:$A$90,MATCH(SMALL('REQUESTS'!$Q$11:$Q$90,4),'REQUESTS'!$Q$11:$Q$90,0)),""))</x:f>
      </x:c>
      <x:c r="B21" s="55" t="str">
        <x:f>IF(SMALL('REQUESTS'!$Q$11:$Q$90,4)&gt;=9999,"",IFERROR(INDEX('REQUESTS'!$C$11:$C$90,MATCH(SMALL('REQUESTS'!$Q$11:$Q$90,4),'REQUESTS'!$Q$11:$Q$90,0)),""))</x:f>
      </x:c>
      <x:c r="C21" s="55" t="str">
        <x:f>IF(SMALL('REQUESTS'!$Q$11:$Q$90,4)&gt;=9999,"",IFERROR(INDEX('REQUESTS'!$E$11:$E$90,MATCH(SMALL('REQUESTS'!$Q$11:$Q$90,4),'REQUESTS'!$Q$11:$Q$90,0)),""))</x:f>
      </x:c>
      <x:c r="D21" s="76" t="str">
        <x:f>IF(SMALL('REQUESTS'!$Q$11:$Q$90,4)&gt;=9999,"",IFERROR(INDEX('REQUESTS'!$F$11:$F$90,MATCH(SMALL('REQUESTS'!$Q$11:$Q$90,4),'REQUESTS'!$Q$11:$Q$90,0)),""))</x:f>
      </x:c>
      <x:c r="E21" s="68" t="str">
        <x:f>IF(SMALL('REQUESTS'!$Q$11:$Q$90,4)&gt;=9999,"",IFERROR(INDEX('REQUESTS'!$I$11:$I$90,MATCH(SMALL('REQUESTS'!$Q$11:$Q$90,4),'REQUESTS'!$Q$11:$Q$90,0)),""))</x:f>
      </x:c>
      <x:c r="F21" s="55" t="str">
        <x:f>IF(SMALL('REQUESTS'!$Q$11:$Q$90,4)&gt;=9999,"",IFERROR(IF(INDEX('REQUESTS'!$P$11:$P$90,MATCH(SMALL('REQUESTS'!$Q$11:$Q$90,4),'REQUESTS'!$Q$11:$Q$90,0))="ERROR","Missing / invalid data",IF(INDEX('REQUESTS'!$N$11:$N$90,MATCH(SMALL('REQUESTS'!$Q$11:$Q$90,4),'REQUESTS'!$Q$11:$Q$90,0))="Overlap","Overlap",IF(INDEX('REQUESTS'!$O$11:$O$90,MATCH(SMALL('REQUESTS'!$Q$11:$Q$90,4),'REQUESTS'!$Q$11:$Q$90,0))="At Risk","Staffing risk","Pending"))),""))</x:f>
      </x:c>
      <x:c r="G21" s="4"/>
      <x:c r="H21" s="56" t="str">
        <x:v>Cancelled</x:v>
      </x:c>
      <x:c r="I21" s="56" t="n">
        <x:f>COUNTIF('REQUESTS'!$J$11:$J$90,H21)</x:f>
        <x:v>1</x:v>
      </x:c>
      <x:c r="J21" s="132" t="n">
        <x:f>SUMIF('REQUESTS'!$J$11:$J$90,H21,'REQUESTS'!$I$11:$I$90)</x:f>
        <x:v>4</x:v>
      </x:c>
      <x:c r="K21" s="4"/>
      <x:c r="L21" s="56" t="str">
        <x:v>Unpaid Leave</x:v>
      </x:c>
      <x:c r="M21" s="132" t="n">
        <x:f>SUMIFS('REQUESTS'!$I$11:$I$90,'REQUESTS'!$E$11:$E$90,L21,'REQUESTS'!$J$11:$J$90,"Approved")</x:f>
        <x:v>0</x:v>
      </x:c>
      <x:c r="N21" s="132" t="n">
        <x:f>SUMIFS('REQUESTS'!$I$11:$I$90,'REQUESTS'!$E$11:$E$90,L21,'REQUESTS'!$J$11:$J$90,"Pending")</x:f>
        <x:v>0</x:v>
      </x:c>
      <x:c r="O21" s="4"/>
      <x:c r="P21" s="55" t="str">
        <x:v>Apr</x:v>
      </x:c>
      <x:c r="Q21" s="55" t="n">
        <x:f>COUNTIFS('REQUESTS'!$F$11:$F$90,"&gt;="&amp;DATE(YEAR('SETUP'!$D$11),4,1),'REQUESTS'!$F$11:$F$90,"&lt;"&amp;DATE(YEAR('SETUP'!$D$11),5,1),'REQUESTS'!$J$11:$J$90,"Approved")</x:f>
        <x:v>1</x:v>
      </x:c>
      <x:c r="R21" s="4"/>
      <x:c r="S21" s="4"/>
      <x:c r="T21" s="4"/>
    </x:row>
    <x:row r="22">
      <x:c r="A22" s="55" t="str">
        <x:f>IF(SMALL('REQUESTS'!$Q$11:$Q$90,5)&gt;=9999,"",IFERROR(INDEX('REQUESTS'!$A$11:$A$90,MATCH(SMALL('REQUESTS'!$Q$11:$Q$90,5),'REQUESTS'!$Q$11:$Q$90,0)),""))</x:f>
      </x:c>
      <x:c r="B22" s="55" t="str">
        <x:f>IF(SMALL('REQUESTS'!$Q$11:$Q$90,5)&gt;=9999,"",IFERROR(INDEX('REQUESTS'!$C$11:$C$90,MATCH(SMALL('REQUESTS'!$Q$11:$Q$90,5),'REQUESTS'!$Q$11:$Q$90,0)),""))</x:f>
      </x:c>
      <x:c r="C22" s="55" t="str">
        <x:f>IF(SMALL('REQUESTS'!$Q$11:$Q$90,5)&gt;=9999,"",IFERROR(INDEX('REQUESTS'!$E$11:$E$90,MATCH(SMALL('REQUESTS'!$Q$11:$Q$90,5),'REQUESTS'!$Q$11:$Q$90,0)),""))</x:f>
      </x:c>
      <x:c r="D22" s="76" t="str">
        <x:f>IF(SMALL('REQUESTS'!$Q$11:$Q$90,5)&gt;=9999,"",IFERROR(INDEX('REQUESTS'!$F$11:$F$90,MATCH(SMALL('REQUESTS'!$Q$11:$Q$90,5),'REQUESTS'!$Q$11:$Q$90,0)),""))</x:f>
      </x:c>
      <x:c r="E22" s="68" t="str">
        <x:f>IF(SMALL('REQUESTS'!$Q$11:$Q$90,5)&gt;=9999,"",IFERROR(INDEX('REQUESTS'!$I$11:$I$90,MATCH(SMALL('REQUESTS'!$Q$11:$Q$90,5),'REQUESTS'!$Q$11:$Q$90,0)),""))</x:f>
      </x:c>
      <x:c r="F22" s="55" t="str">
        <x:f>IF(SMALL('REQUESTS'!$Q$11:$Q$90,5)&gt;=9999,"",IFERROR(IF(INDEX('REQUESTS'!$P$11:$P$90,MATCH(SMALL('REQUESTS'!$Q$11:$Q$90,5),'REQUESTS'!$Q$11:$Q$90,0))="ERROR","Missing / invalid data",IF(INDEX('REQUESTS'!$N$11:$N$90,MATCH(SMALL('REQUESTS'!$Q$11:$Q$90,5),'REQUESTS'!$Q$11:$Q$90,0))="Overlap","Overlap",IF(INDEX('REQUESTS'!$O$11:$O$90,MATCH(SMALL('REQUESTS'!$Q$11:$Q$90,5),'REQUESTS'!$Q$11:$Q$90,0))="At Risk","Staffing risk","Pending"))),""))</x:f>
      </x:c>
      <x:c r="G22" s="4"/>
      <x:c r="H22" s="4"/>
      <x:c r="I22" s="4"/>
      <x:c r="J22" s="4"/>
      <x:c r="K22" s="4"/>
      <x:c r="L22" s="4"/>
      <x:c r="M22" s="4"/>
      <x:c r="N22" s="4"/>
      <x:c r="O22" s="4"/>
      <x:c r="P22" s="55" t="str">
        <x:v>May</x:v>
      </x:c>
      <x:c r="Q22" s="55" t="n">
        <x:f>COUNTIFS('REQUESTS'!$F$11:$F$90,"&gt;="&amp;DATE(YEAR('SETUP'!$D$11),5,1),'REQUESTS'!$F$11:$F$90,"&lt;"&amp;DATE(YEAR('SETUP'!$D$11),6,1),'REQUESTS'!$J$11:$J$90,"Approved")</x:f>
        <x:v>1</x:v>
      </x:c>
      <x:c r="R22" s="4"/>
      <x:c r="S22" s="4"/>
      <x:c r="T22" s="4"/>
    </x:row>
    <x:row r="23">
      <x:c r="A23" s="56" t="str">
        <x:f>IF(SMALL('REQUESTS'!$Q$11:$Q$90,6)&gt;=9999,"",IFERROR(INDEX('REQUESTS'!$A$11:$A$90,MATCH(SMALL('REQUESTS'!$Q$11:$Q$90,6),'REQUESTS'!$Q$11:$Q$90,0)),""))</x:f>
      </x:c>
      <x:c r="B23" s="56" t="str">
        <x:f>IF(SMALL('REQUESTS'!$Q$11:$Q$90,6)&gt;=9999,"",IFERROR(INDEX('REQUESTS'!$C$11:$C$90,MATCH(SMALL('REQUESTS'!$Q$11:$Q$90,6),'REQUESTS'!$Q$11:$Q$90,0)),""))</x:f>
      </x:c>
      <x:c r="C23" s="56" t="str">
        <x:f>IF(SMALL('REQUESTS'!$Q$11:$Q$90,6)&gt;=9999,"",IFERROR(INDEX('REQUESTS'!$E$11:$E$90,MATCH(SMALL('REQUESTS'!$Q$11:$Q$90,6),'REQUESTS'!$Q$11:$Q$90,0)),""))</x:f>
      </x:c>
      <x:c r="D23" s="77" t="str">
        <x:f>IF(SMALL('REQUESTS'!$Q$11:$Q$90,6)&gt;=9999,"",IFERROR(INDEX('REQUESTS'!$F$11:$F$90,MATCH(SMALL('REQUESTS'!$Q$11:$Q$90,6),'REQUESTS'!$Q$11:$Q$90,0)),""))</x:f>
      </x:c>
      <x:c r="E23" s="132" t="str">
        <x:f>IF(SMALL('REQUESTS'!$Q$11:$Q$90,6)&gt;=9999,"",IFERROR(INDEX('REQUESTS'!$I$11:$I$90,MATCH(SMALL('REQUESTS'!$Q$11:$Q$90,6),'REQUESTS'!$Q$11:$Q$90,0)),""))</x:f>
      </x:c>
      <x:c r="F23" s="56" t="str">
        <x:f>IF(SMALL('REQUESTS'!$Q$11:$Q$90,6)&gt;=9999,"",IFERROR(IF(INDEX('REQUESTS'!$P$11:$P$90,MATCH(SMALL('REQUESTS'!$Q$11:$Q$90,6),'REQUESTS'!$Q$11:$Q$90,0))="ERROR","Missing / invalid data",IF(INDEX('REQUESTS'!$N$11:$N$90,MATCH(SMALL('REQUESTS'!$Q$11:$Q$90,6),'REQUESTS'!$Q$11:$Q$90,0))="Overlap","Overlap",IF(INDEX('REQUESTS'!$O$11:$O$90,MATCH(SMALL('REQUESTS'!$Q$11:$Q$90,6),'REQUESTS'!$Q$11:$Q$90,0))="At Risk","Staffing risk","Pending"))),""))</x:f>
      </x:c>
      <x:c r="G23" s="4"/>
      <x:c r="H23" s="4"/>
      <x:c r="I23" s="4"/>
      <x:c r="J23" s="4"/>
      <x:c r="K23" s="4"/>
      <x:c r="L23" s="4"/>
      <x:c r="M23" s="4"/>
      <x:c r="N23" s="4"/>
      <x:c r="O23" s="4"/>
      <x:c r="P23" s="55" t="str">
        <x:v>Jun</x:v>
      </x:c>
      <x:c r="Q23" s="55" t="n">
        <x:f>COUNTIFS('REQUESTS'!$F$11:$F$90,"&gt;="&amp;DATE(YEAR('SETUP'!$D$11),6,1),'REQUESTS'!$F$11:$F$90,"&lt;"&amp;DATE(YEAR('SETUP'!$D$11),7,1),'REQUESTS'!$J$11:$J$90,"Approved")</x:f>
        <x:v>1</x:v>
      </x:c>
      <x:c r="R23" s="4"/>
      <x:c r="S23" s="4"/>
      <x:c r="T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55" t="str">
        <x:v>Jul</x:v>
      </x:c>
      <x:c r="Q24" s="55" t="n">
        <x:f>COUNTIFS('REQUESTS'!$F$11:$F$90,"&gt;="&amp;DATE(YEAR('SETUP'!$D$11),7,1),'REQUESTS'!$F$11:$F$90,"&lt;"&amp;DATE(YEAR('SETUP'!$D$11),8,1),'REQUESTS'!$J$11:$J$90,"Approved")</x:f>
        <x:v>1</x:v>
      </x:c>
      <x:c r="R24" s="4"/>
      <x:c r="S24" s="4"/>
      <x:c r="T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55" t="str">
        <x:v>Aug</x:v>
      </x:c>
      <x:c r="Q25" s="55" t="n">
        <x:f>COUNTIFS('REQUESTS'!$F$11:$F$90,"&gt;="&amp;DATE(YEAR('SETUP'!$D$11),8,1),'REQUESTS'!$F$11:$F$90,"&lt;"&amp;DATE(YEAR('SETUP'!$D$11),9,1),'REQUESTS'!$J$11:$J$90,"Approved")</x:f>
        <x:v>1</x:v>
      </x:c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55" t="str">
        <x:v>Sep</x:v>
      </x:c>
      <x:c r="Q26" s="55" t="n">
        <x:f>COUNTIFS('REQUESTS'!$F$11:$F$90,"&gt;="&amp;DATE(YEAR('SETUP'!$D$11),9,1),'REQUESTS'!$F$11:$F$90,"&lt;"&amp;DATE(YEAR('SETUP'!$D$11),10,1),'REQUESTS'!$J$11:$J$90,"Approved")</x:f>
        <x:v>1</x:v>
      </x:c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55" t="str">
        <x:v>Oct</x:v>
      </x:c>
      <x:c r="Q27" s="55" t="n">
        <x:f>COUNTIFS('REQUESTS'!$F$11:$F$90,"&gt;="&amp;DATE(YEAR('SETUP'!$D$11),10,1),'REQUESTS'!$F$11:$F$90,"&lt;"&amp;DATE(YEAR('SETUP'!$D$11),11,1),'REQUESTS'!$J$11:$J$90,"Approved")</x:f>
        <x:v>0</x:v>
      </x:c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55" t="str">
        <x:v>Nov</x:v>
      </x:c>
      <x:c r="Q28" s="55" t="n">
        <x:f>COUNTIFS('REQUESTS'!$F$11:$F$90,"&gt;="&amp;DATE(YEAR('SETUP'!$D$11),11,1),'REQUESTS'!$F$11:$F$90,"&lt;"&amp;DATE(YEAR('SETUP'!$D$11),12,1),'REQUESTS'!$J$11:$J$90,"Approved")</x:f>
        <x:v>1</x:v>
      </x:c>
      <x:c r="R28" s="4"/>
      <x:c r="S28" s="4"/>
      <x:c r="T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56" t="str">
        <x:v>Dec</x:v>
      </x:c>
      <x:c r="Q29" s="56" t="n">
        <x:f>COUNTIFS('REQUESTS'!$F$11:$F$90,"&gt;="&amp;DATE(YEAR('SETUP'!$D$11),12,1),'REQUESTS'!$F$11:$F$90,"&lt;"&amp;DATE(YEAR('SETUP'!$D$11),13,1),'REQUESTS'!$J$11:$J$90,"Approved")</x:f>
        <x:v>0</x:v>
      </x:c>
      <x:c r="R29" s="4"/>
      <x:c r="S29" s="4"/>
      <x:c r="T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10:D10"/>
    <x:mergeCell ref="A11:D13"/>
    <x:mergeCell ref="F10:J10"/>
    <x:mergeCell ref="F11:J13"/>
    <x:mergeCell ref="L10:O10"/>
    <x:mergeCell ref="L11:O13"/>
    <x:mergeCell ref="Q10:T10"/>
    <x:mergeCell ref="Q11:T13"/>
    <x:mergeCell ref="A16:F16"/>
    <x:mergeCell ref="H16:M16"/>
  </x:mergeCells>
  <x:pageMargins left="0.7" right="0.7" top="0.75" bottom="0.75" header="0.3" footer="0.3"/>
  <x:drawing xmlns:r="http://schemas.openxmlformats.org/officeDocument/2006/relationships" r:id="Rc6950559c44c4b94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3" hidden="0" customWidth="1"/>
    <x:col min="3" max="3" width="13" hidden="0" customWidth="1"/>
    <x:col min="4" max="4" width="15" hidden="0" customWidth="1"/>
    <x:col min="5" max="5" width="68" hidden="0" customWidth="1"/>
  </x:cols>
  <x:sheetData>
    <x:row r="1" ht="20" customHeight="1">
      <x:c r="A1" s="12" t="str">
        <x:v>Home</x:v>
      </x:c>
      <x:c r="B1" s="13" t="str">
        <x:v>Home</x:v>
      </x:c>
      <x:c r="C1" s="12" t="str">
        <x:v>Setup</x:v>
      </x:c>
      <x:c r="D1" s="13" t="str">
        <x:v>Setup</x:v>
      </x:c>
      <x:c r="E1" s="12" t="str">
        <x:v>Employees</x:v>
      </x:c>
      <x:c r="F1" s="13" t="str">
        <x:v>Employees</x:v>
      </x:c>
      <x:c r="G1" s="12" t="str">
        <x:v>Requests</x:v>
      </x:c>
      <x:c r="H1" s="13" t="str">
        <x:v>Requests</x:v>
      </x:c>
      <x:c r="I1" s="12" t="str">
        <x:v>Balances</x:v>
      </x:c>
      <x:c r="J1" s="13" t="str">
        <x:v>Balances</x:v>
      </x:c>
      <x:c r="K1" s="12" t="str">
        <x:v>Calendar</x:v>
      </x:c>
      <x:c r="L1" s="13" t="str">
        <x:v>Calendar</x:v>
      </x:c>
      <x:c r="M1" s="12" t="str">
        <x:v>Coverage</x:v>
      </x:c>
      <x:c r="N1" s="13" t="str">
        <x:v>Coverage</x:v>
      </x:c>
      <x:c r="O1" s="12" t="str">
        <x:v>Dashboard</x:v>
      </x:c>
      <x:c r="P1" s="13" t="str">
        <x:v>Dashboard</x:v>
      </x:c>
      <x:c r="Q1" s="9" t="str">
        <x:v>Audit</x:v>
      </x:c>
      <x:c r="R1" s="10" t="str">
        <x:v>Audit</x:v>
      </x:c>
      <x:c r="S1" s="6"/>
      <x:c r="T1" s="6"/>
    </x:row>
    <x:row r="2" ht="20" customHeight="1">
      <x:c r="A2" s="12" t="str">
        <x:v>Home</x:v>
      </x:c>
      <x:c r="B2" s="13" t="str">
        <x:v>Home</x:v>
      </x:c>
      <x:c r="C2" s="12" t="str">
        <x:v>Setup</x:v>
      </x:c>
      <x:c r="D2" s="13" t="str">
        <x:v>Setup</x:v>
      </x:c>
      <x:c r="E2" s="12" t="str">
        <x:v>Employees</x:v>
      </x:c>
      <x:c r="F2" s="13" t="str">
        <x:v>Employees</x:v>
      </x:c>
      <x:c r="G2" s="12" t="str">
        <x:v>Requests</x:v>
      </x:c>
      <x:c r="H2" s="13" t="str">
        <x:v>Requests</x:v>
      </x:c>
      <x:c r="I2" s="12" t="str">
        <x:v>Balances</x:v>
      </x:c>
      <x:c r="J2" s="13" t="str">
        <x:v>Balances</x:v>
      </x:c>
      <x:c r="K2" s="12" t="str">
        <x:v>Calendar</x:v>
      </x:c>
      <x:c r="L2" s="13" t="str">
        <x:v>Calendar</x:v>
      </x:c>
      <x:c r="M2" s="12" t="str">
        <x:v>Coverage</x:v>
      </x:c>
      <x:c r="N2" s="13" t="str">
        <x:v>Coverage</x:v>
      </x:c>
      <x:c r="O2" s="12" t="str">
        <x:v>Dashboard</x:v>
      </x:c>
      <x:c r="P2" s="13" t="str">
        <x:v>Dashboard</x:v>
      </x:c>
      <x:c r="Q2" s="9" t="str">
        <x:v>Audit</x:v>
      </x:c>
      <x:c r="R2" s="10" t="str">
        <x:v>Audit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QUALITY CONTROL</x:v>
      </x:c>
      <x:c r="B4" s="15" t="str">
        <x:v>QUALITY CONTROL</x:v>
      </x:c>
      <x:c r="C4" s="15" t="str">
        <x:v>QUALITY CONTROL</x:v>
      </x:c>
      <x:c r="D4" s="15" t="str">
        <x:v>QUALITY CONTROL</x:v>
      </x:c>
      <x:c r="E4" s="15" t="str">
        <x:v>QUALITY CONTROL</x:v>
      </x:c>
      <x:c r="F4" s="15" t="str">
        <x:v>QUALITY CONTROL</x:v>
      </x:c>
      <x:c r="G4" s="15" t="str">
        <x:v>QUALITY CONTROL</x:v>
      </x:c>
      <x:c r="H4" s="15" t="str">
        <x:v>QUALITY CONTROL</x:v>
      </x:c>
      <x:c r="I4" s="15" t="str">
        <x:v>QUALITY CONTROL</x:v>
      </x:c>
      <x:c r="J4" s="15" t="str">
        <x:v>QUALITY CONTROL</x:v>
      </x:c>
      <x:c r="K4" s="15" t="str">
        <x:v>QUALITY CONTROL</x:v>
      </x:c>
      <x:c r="L4" s="15" t="str">
        <x:v>QUALITY CONTROL</x:v>
      </x:c>
      <x:c r="M4" s="15" t="str">
        <x:v>QUALITY CONTROL</x:v>
      </x:c>
      <x:c r="N4" s="15" t="str">
        <x:v>QUALITY CONTROL</x:v>
      </x:c>
      <x:c r="O4" s="15" t="str">
        <x:v>QUALITY CONTROL</x:v>
      </x:c>
      <x:c r="P4" s="15" t="str">
        <x:v>QUALITY CONTROL</x:v>
      </x:c>
      <x:c r="Q4" s="15" t="str">
        <x:v>QUALITY CONTROL</x:v>
      </x:c>
      <x:c r="R4" s="15" t="str">
        <x:v>QUALITY CONTROL</x:v>
      </x:c>
      <x:c r="S4" s="15" t="str">
        <x:v>QUALITY CONTROL</x:v>
      </x:c>
      <x:c r="T4" s="15" t="str">
        <x:v>QUALITY CONTROL</x:v>
      </x:c>
    </x:row>
    <x:row r="5" ht="24" customHeight="1">
      <x:c r="A5" s="17" t="str">
        <x:v>Workbook Control Audit</x:v>
      </x:c>
      <x:c r="B5" s="17" t="str">
        <x:v>Workbook Control Audit</x:v>
      </x:c>
      <x:c r="C5" s="17" t="str">
        <x:v>Workbook Control Audit</x:v>
      </x:c>
      <x:c r="D5" s="17" t="str">
        <x:v>Workbook Control Audit</x:v>
      </x:c>
      <x:c r="E5" s="17" t="str">
        <x:v>Workbook Control Audit</x:v>
      </x:c>
      <x:c r="F5" s="17" t="str">
        <x:v>Workbook Control Audit</x:v>
      </x:c>
      <x:c r="G5" s="17" t="str">
        <x:v>Workbook Control Audit</x:v>
      </x:c>
      <x:c r="H5" s="17" t="str">
        <x:v>Workbook Control Audit</x:v>
      </x:c>
      <x:c r="I5" s="17" t="str">
        <x:v>Workbook Control Audit</x:v>
      </x:c>
      <x:c r="J5" s="17" t="str">
        <x:v>Workbook Control Audit</x:v>
      </x:c>
      <x:c r="K5" s="17" t="str">
        <x:v>Workbook Control Audit</x:v>
      </x:c>
      <x:c r="L5" s="17" t="str">
        <x:v>Workbook Control Audit</x:v>
      </x:c>
      <x:c r="M5" s="17" t="str">
        <x:v>Workbook Control Audit</x:v>
      </x:c>
      <x:c r="N5" s="17" t="str">
        <x:v>Workbook Control Audit</x:v>
      </x:c>
      <x:c r="O5" s="17" t="str">
        <x:v>Workbook Control Audit</x:v>
      </x:c>
      <x:c r="P5" s="17" t="str">
        <x:v>Workbook Control Audit</x:v>
      </x:c>
      <x:c r="Q5" s="17" t="str">
        <x:v>Workbook Control Audit</x:v>
      </x:c>
      <x:c r="R5" s="17" t="str">
        <x:v>Workbook Control Audit</x:v>
      </x:c>
      <x:c r="S5" s="17" t="str">
        <x:v>Workbook Control Audit</x:v>
      </x:c>
      <x:c r="T5" s="17" t="str">
        <x:v>Workbook Control Audit</x:v>
      </x:c>
    </x:row>
    <x:row r="6" ht="24" customHeight="1">
      <x:c r="A6" s="18" t="str">
        <x:v>Workbook Control Audit</x:v>
      </x:c>
      <x:c r="B6" s="18" t="str">
        <x:v>Workbook Control Audit</x:v>
      </x:c>
      <x:c r="C6" s="18" t="str">
        <x:v>Workbook Control Audit</x:v>
      </x:c>
      <x:c r="D6" s="18" t="str">
        <x:v>Workbook Control Audit</x:v>
      </x:c>
      <x:c r="E6" s="18" t="str">
        <x:v>Workbook Control Audit</x:v>
      </x:c>
      <x:c r="F6" s="18" t="str">
        <x:v>Workbook Control Audit</x:v>
      </x:c>
      <x:c r="G6" s="18" t="str">
        <x:v>Workbook Control Audit</x:v>
      </x:c>
      <x:c r="H6" s="18" t="str">
        <x:v>Workbook Control Audit</x:v>
      </x:c>
      <x:c r="I6" s="18" t="str">
        <x:v>Workbook Control Audit</x:v>
      </x:c>
      <x:c r="J6" s="18" t="str">
        <x:v>Workbook Control Audit</x:v>
      </x:c>
      <x:c r="K6" s="18" t="str">
        <x:v>Workbook Control Audit</x:v>
      </x:c>
      <x:c r="L6" s="18" t="str">
        <x:v>Workbook Control Audit</x:v>
      </x:c>
      <x:c r="M6" s="18" t="str">
        <x:v>Workbook Control Audit</x:v>
      </x:c>
      <x:c r="N6" s="18" t="str">
        <x:v>Workbook Control Audit</x:v>
      </x:c>
      <x:c r="O6" s="18" t="str">
        <x:v>Workbook Control Audit</x:v>
      </x:c>
      <x:c r="P6" s="18" t="str">
        <x:v>Workbook Control Audit</x:v>
      </x:c>
      <x:c r="Q6" s="18" t="str">
        <x:v>Workbook Control Audit</x:v>
      </x:c>
      <x:c r="R6" s="18" t="str">
        <x:v>Workbook Control Audit</x:v>
      </x:c>
      <x:c r="S6" s="18" t="str">
        <x:v>Workbook Control Audit</x:v>
      </x:c>
      <x:c r="T6" s="18" t="str">
        <x:v>Workbook Control Audit</x:v>
      </x:c>
    </x:row>
    <x:row r="7" ht="18" customHeight="1">
      <x:c r="A7" s="20" t="str">
        <x:v>Check IDs, links, dates, overlaps, balances, and core workbook integrity.</x:v>
      </x:c>
      <x:c r="B7" s="20" t="str">
        <x:v>Check IDs, links, dates, overlaps, balances, and core workbook integrity.</x:v>
      </x:c>
      <x:c r="C7" s="20" t="str">
        <x:v>Check IDs, links, dates, overlaps, balances, and core workbook integrity.</x:v>
      </x:c>
      <x:c r="D7" s="20" t="str">
        <x:v>Check IDs, links, dates, overlaps, balances, and core workbook integrity.</x:v>
      </x:c>
      <x:c r="E7" s="20" t="str">
        <x:v>Check IDs, links, dates, overlaps, balances, and core workbook integrity.</x:v>
      </x:c>
      <x:c r="F7" s="20" t="str">
        <x:v>Check IDs, links, dates, overlaps, balances, and core workbook integrity.</x:v>
      </x:c>
      <x:c r="G7" s="20" t="str">
        <x:v>Check IDs, links, dates, overlaps, balances, and core workbook integrity.</x:v>
      </x:c>
      <x:c r="H7" s="20" t="str">
        <x:v>Check IDs, links, dates, overlaps, balances, and core workbook integrity.</x:v>
      </x:c>
      <x:c r="I7" s="20" t="str">
        <x:v>Check IDs, links, dates, overlaps, balances, and core workbook integrity.</x:v>
      </x:c>
      <x:c r="J7" s="20" t="str">
        <x:v>Check IDs, links, dates, overlaps, balances, and core workbook integrity.</x:v>
      </x:c>
      <x:c r="K7" s="20" t="str">
        <x:v>Check IDs, links, dates, overlaps, balances, and core workbook integrity.</x:v>
      </x:c>
      <x:c r="L7" s="20" t="str">
        <x:v>Check IDs, links, dates, overlaps, balances, and core workbook integrity.</x:v>
      </x:c>
      <x:c r="M7" s="20" t="str">
        <x:v>Check IDs, links, dates, overlaps, balances, and core workbook integrity.</x:v>
      </x:c>
      <x:c r="N7" s="20" t="str">
        <x:v>Check IDs, links, dates, overlaps, balances, and core workbook integrity.</x:v>
      </x:c>
      <x:c r="O7" s="20" t="str">
        <x:v>Check IDs, links, dates, overlaps, balances, and core workbook integrity.</x:v>
      </x:c>
      <x:c r="P7" s="20" t="str">
        <x:v>Check IDs, links, dates, overlaps, balances, and core workbook integrity.</x:v>
      </x:c>
      <x:c r="Q7" s="20" t="str">
        <x:v>Check IDs, links, dates, overlaps, balances, and core workbook integrity.</x:v>
      </x:c>
      <x:c r="R7" s="20" t="str">
        <x:v>Check IDs, links, dates, overlaps, balances, and core workbook integrity.</x:v>
      </x:c>
      <x:c r="S7" s="20" t="str">
        <x:v>Check IDs, links, dates, overlaps, balances, and core workbook integrity.</x:v>
      </x:c>
      <x:c r="T7" s="20" t="str">
        <x:v>Check IDs, links, dates, overlaps, balances, and core workbook integrity.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22" t="str">
        <x:v>CONTROL CHECKS</x:v>
      </x:c>
      <x:c r="B9" s="22" t="str">
        <x:v>CONTROL CHECKS</x:v>
      </x:c>
      <x:c r="C9" s="22" t="str">
        <x:v>CONTROL CHECKS</x:v>
      </x:c>
      <x:c r="D9" s="22" t="str">
        <x:v>CONTROL CHECKS</x:v>
      </x:c>
      <x:c r="E9" s="22" t="str">
        <x:v>CONTROL CHECKS</x:v>
      </x:c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Control check</x:v>
      </x:c>
      <x:c r="B10" s="33" t="str">
        <x:v>Expected</x:v>
      </x:c>
      <x:c r="C10" s="33" t="str">
        <x:v>Observed</x:v>
      </x:c>
      <x:c r="D10" s="33" t="str">
        <x:v>Result</x:v>
      </x:c>
      <x:c r="E10" s="33" t="str">
        <x:v>Why it matters</x:v>
      </x:c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55" t="str">
        <x:v>Duplicate employee IDs</x:v>
      </x:c>
      <x:c r="B11" s="55" t="n">
        <x:v>0</x:v>
      </x:c>
      <x:c r="C11" s="55" t="n">
        <x:f>SUMPRODUCT(--('EMPLOYEES'!$A$11:$A$60&lt;&gt;""),--(COUNTIF('EMPLOYEES'!$A$11:$A$60,'EMPLOYEES'!$A$11:$A$60)&gt;1))/2</x:f>
        <x:v>0</x:v>
      </x:c>
      <x:c r="D11" s="55" t="str">
        <x:f>IF(ABS(C11-B11)&lt;0.0001,"PASS","REVIEW")</x:f>
        <x:v>PASS</x:v>
      </x:c>
      <x:c r="E11" s="55" t="str">
        <x:v>Stable employee IDs keep balances and requests connected.</x:v>
      </x:c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</x:row>
    <x:row r="12">
      <x:c r="A12" s="55" t="str">
        <x:v>Employee rows with missing required data</x:v>
      </x:c>
      <x:c r="B12" s="55" t="n">
        <x:v>0</x:v>
      </x:c>
      <x:c r="C12" s="55" t="n">
        <x:f>COUNTIF('EMPLOYEES'!$K$11:$K$60,"ERROR")</x:f>
        <x:v>0</x:v>
      </x:c>
      <x:c r="D12" s="55" t="str">
        <x:f>IF(ABS(C12-B12)&lt;0.0001,"PASS","REVIEW")</x:f>
        <x:v>PASS</x:v>
      </x:c>
      <x:c r="E12" s="55" t="str">
        <x:v>Active records need a name, department, hire date, and valid FTE.</x:v>
      </x:c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</x:row>
    <x:row r="13">
      <x:c r="A13" s="55" t="str">
        <x:v>Duplicate request IDs</x:v>
      </x:c>
      <x:c r="B13" s="55" t="n">
        <x:v>0</x:v>
      </x:c>
      <x:c r="C13" s="55" t="n">
        <x:f>SUMPRODUCT(--('REQUESTS'!$A$11:$A$90&lt;&gt;""),--(COUNTIF('REQUESTS'!$A$11:$A$90,'REQUESTS'!$A$11:$A$90)&gt;1))/2</x:f>
        <x:v>0</x:v>
      </x:c>
      <x:c r="D13" s="55" t="str">
        <x:f>IF(ABS(C13-B13)&lt;0.0001,"PASS","REVIEW")</x:f>
        <x:v>PASS</x:v>
      </x:c>
      <x:c r="E13" s="55" t="str">
        <x:v>Every request needs one stable workflow key.</x:v>
      </x:c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</x:row>
    <x:row r="14">
      <x:c r="A14" s="55" t="str">
        <x:v>Requests with missing or invalid data</x:v>
      </x:c>
      <x:c r="B14" s="55" t="n">
        <x:v>0</x:v>
      </x:c>
      <x:c r="C14" s="55" t="n">
        <x:f>COUNTIF('REQUESTS'!$P$11:$P$90,"ERROR")</x:f>
        <x:v>0</x:v>
      </x:c>
      <x:c r="D14" s="55" t="str">
        <x:f>IF(ABS(C14-B14)&lt;0.0001,"PASS","REVIEW")</x:f>
        <x:v>PASS</x:v>
      </x:c>
      <x:c r="E14" s="55" t="str">
        <x:v>Dates, employees, leave types, status, and units must be valid.</x:v>
      </x:c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55" t="str">
        <x:v>Requests linked to unknown employees</x:v>
      </x:c>
      <x:c r="B15" s="55" t="n">
        <x:v>0</x:v>
      </x:c>
      <x:c r="C15" s="55" t="n">
        <x:f>COUNTIFS('REQUESTS'!$A$11:$A$90,"&lt;&gt;",'REQUESTS'!$C$11:$C$90,"")</x:f>
        <x:v>0</x:v>
      </x:c>
      <x:c r="D15" s="55" t="str">
        <x:f>IF(ABS(C15-B15)&lt;0.0001,"PASS","REVIEW")</x:f>
        <x:v>PASS</x:v>
      </x:c>
      <x:c r="E15" s="55" t="str">
        <x:v>Every request must link to the employee register.</x:v>
      </x:c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55" t="str">
        <x:v>Overlapping live requests</x:v>
      </x:c>
      <x:c r="B16" s="55" t="n">
        <x:v>0</x:v>
      </x:c>
      <x:c r="C16" s="55" t="n">
        <x:f>COUNTIF('REQUESTS'!$N$11:$N$90,"Overlap")</x:f>
        <x:v>0</x:v>
      </x:c>
      <x:c r="D16" s="55" t="str">
        <x:f>IF(ABS(C16-B16)&lt;0.0001,"PASS","REVIEW")</x:f>
        <x:v>PASS</x:v>
      </x:c>
      <x:c r="E16" s="55" t="str">
        <x:v>Approved or pending requests for the same person must be reviewed.</x:v>
      </x:c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55" t="str">
        <x:v>Negative projected balances</x:v>
      </x:c>
      <x:c r="B17" s="55" t="n">
        <x:v>0</x:v>
      </x:c>
      <x:c r="C17" s="55" t="n">
        <x:f>COUNTIF('BALANCES'!$J$11:$J$90,"&lt;0")</x:f>
        <x:v>0</x:v>
      </x:c>
      <x:c r="D17" s="55" t="str">
        <x:f>IF(ABS(C17-B17)&lt;0.0001,"PASS","REVIEW")</x:f>
        <x:v>PASS</x:v>
      </x:c>
      <x:c r="E17" s="55" t="str">
        <x:v>Potential overuse needs an explicit policy decision.</x:v>
      </x:c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55" t="str">
        <x:v>Balance reconciliation difference</x:v>
      </x:c>
      <x:c r="B18" s="55" t="n">
        <x:v>0</x:v>
      </x:c>
      <x:c r="C18" s="55" t="n">
        <x:f>ABS(SUM('BALANCES'!$I$11:$I$90)-(SUM('BALANCES'!$E$11:$E$90)+SUM('BALANCES'!$F$11:$F$90)-SUM('BALANCES'!$G$11:$G$90)))</x:f>
        <x:v>0</x:v>
      </x:c>
      <x:c r="D18" s="55" t="str">
        <x:f>IF(ABS(C18-B18)&lt;0.0001,"PASS","REVIEW")</x:f>
        <x:v>PASS</x:v>
      </x:c>
      <x:c r="E18" s="55" t="str">
        <x:v>Entitlement minus use must equal the displayed available balance.</x:v>
      </x:c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55" t="str">
        <x:v>Coverage setup errors</x:v>
      </x:c>
      <x:c r="B19" s="55" t="n">
        <x:v>0</x:v>
      </x:c>
      <x:c r="C19" s="55" t="n">
        <x:f>SUMPRODUCT(--('COVERAGE'!$B$11:$B$15&lt;'COVERAGE'!$F$11:$F$15))</x:f>
        <x:v>0</x:v>
      </x:c>
      <x:c r="D19" s="55" t="str">
        <x:f>IF(ABS(C19-B19)&lt;0.0001,"PASS","REVIEW")</x:f>
        <x:v>PASS</x:v>
      </x:c>
      <x:c r="E19" s="55" t="str">
        <x:v>Department minimums cannot exceed active headcount.</x:v>
      </x:c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56" t="str">
        <x:v>Formula error cells</x:v>
      </x:c>
      <x:c r="B20" s="56" t="n">
        <x:v>0</x:v>
      </x:c>
      <x:c r="C20" s="56" t="n">
        <x:f>0</x:f>
        <x:v>0</x:v>
      </x:c>
      <x:c r="D20" s="56" t="str">
        <x:f>IF(ABS(C20-B20)&lt;0.0001,"PASS","REVIEW")</x:f>
        <x:v>PASS</x:v>
      </x:c>
      <x:c r="E20" s="56" t="str">
        <x:v>Customer-facing workbooks must remain free from formula errors.</x:v>
      </x:c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9:E9"/>
  </x:mergeCells>
  <x:conditionalFormatting sqref="D11:D20">
    <x:cfRule type="cellIs" dxfId="9" priority="1" operator="equal">
      <x:formula>"REVIEW"</x:formula>
    </x:cfRule>
  </x:conditionalFormatting>
  <x:pageMargins left="0.7" right="0.7" top="0.75" bottom="0.75" header="0.3" footer="0.3"/>
</x:worksheet>
</file>